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公寓" sheetId="69" r:id="rId30"/>
    <sheet name="不动产收益法-酒店" sheetId="70" r:id="rId31"/>
    <sheet name="不动产收益法-商业" sheetId="71" r:id="rId32"/>
    <sheet name="不动产收益法-车库" sheetId="15" r:id="rId33"/>
    <sheet name="酒店收入计算" sheetId="57"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8" r:id="rId44"/>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'不动产收益法-车库'!$A$1:$F$43,'不动产收益法-车库'!$H$3:$M$29,'不动产收益法-车库'!$A$46:$F$70,'不动产收益法-车库'!$I$46:$M$60</definedName>
    <definedName name="_xlnm.Print_Area" localSheetId="29">'不动产收益法-公寓'!$A$1:$F$43,'不动产收益法-公寓'!$H$3:$M$29,'不动产收益法-公寓'!$A$46:$F$70,'不动产收益法-公寓'!$I$46:$M$60</definedName>
    <definedName name="_xlnm.Print_Area" localSheetId="30">'不动产收益法-酒店'!$A$1:$F$43,'不动产收益法-酒店'!$H$3:$M$29,'不动产收益法-酒店'!$A$46:$F$70,'不动产收益法-酒店'!$I$46:$M$60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20" i="39" l="1"/>
  <c r="G120" i="39"/>
  <c r="F120" i="39"/>
  <c r="C120" i="39"/>
  <c r="D120" i="39"/>
  <c r="I40" i="39"/>
  <c r="G40" i="39"/>
  <c r="E40" i="39"/>
  <c r="C40" i="39"/>
  <c r="AM9" i="1" l="1"/>
  <c r="AM8" i="1"/>
  <c r="AM7" i="1"/>
  <c r="AK7" i="1"/>
  <c r="AK8" i="1" s="1"/>
  <c r="AK9" i="1" s="1"/>
  <c r="AH9" i="1"/>
  <c r="O16" i="3"/>
  <c r="U7" i="1" l="1"/>
  <c r="R31" i="68"/>
  <c r="E73" i="39"/>
  <c r="F73" i="39" s="1"/>
  <c r="G73" i="39" s="1"/>
  <c r="H73" i="39" s="1"/>
  <c r="I73" i="39" s="1"/>
  <c r="J73" i="39" s="1"/>
  <c r="K73" i="39" s="1"/>
  <c r="L73" i="39" s="1"/>
  <c r="M73" i="39" s="1"/>
  <c r="N73" i="39" s="1"/>
  <c r="D73" i="39"/>
  <c r="I48" i="39"/>
  <c r="G48" i="39"/>
  <c r="E48" i="39"/>
  <c r="I9" i="39"/>
  <c r="G9" i="39"/>
  <c r="E9" i="39"/>
  <c r="Q73" i="71"/>
  <c r="F61" i="71"/>
  <c r="Q60" i="71"/>
  <c r="D60" i="71"/>
  <c r="Q59" i="71"/>
  <c r="K59" i="71"/>
  <c r="F59" i="71"/>
  <c r="Q52" i="71"/>
  <c r="J50" i="71"/>
  <c r="J51" i="71" s="1"/>
  <c r="M47" i="71"/>
  <c r="F34" i="71"/>
  <c r="F33" i="71"/>
  <c r="F60" i="71" s="1"/>
  <c r="F32" i="71"/>
  <c r="F28" i="71"/>
  <c r="C28" i="71" s="1"/>
  <c r="F23" i="71"/>
  <c r="F21" i="71"/>
  <c r="M20" i="71"/>
  <c r="F20" i="71"/>
  <c r="M19" i="71"/>
  <c r="M18" i="71"/>
  <c r="F18" i="71"/>
  <c r="F17" i="71"/>
  <c r="F15" i="71"/>
  <c r="G1" i="71"/>
  <c r="P75" i="70"/>
  <c r="Q73" i="70"/>
  <c r="P62" i="70"/>
  <c r="Q60" i="70"/>
  <c r="D60" i="70"/>
  <c r="Q59" i="70"/>
  <c r="K59" i="70"/>
  <c r="Q52" i="70"/>
  <c r="J50" i="70"/>
  <c r="J51" i="70" s="1"/>
  <c r="M47" i="70"/>
  <c r="F34" i="70"/>
  <c r="F33" i="70"/>
  <c r="F60" i="70" s="1"/>
  <c r="F32" i="70"/>
  <c r="F59" i="70" s="1"/>
  <c r="F28" i="70"/>
  <c r="C28" i="70"/>
  <c r="F23" i="70"/>
  <c r="D24" i="70" s="1"/>
  <c r="D23" i="70"/>
  <c r="D22" i="70"/>
  <c r="F21" i="70"/>
  <c r="M20" i="70"/>
  <c r="F20" i="70"/>
  <c r="M19" i="70"/>
  <c r="M18" i="70"/>
  <c r="F18" i="70"/>
  <c r="F17" i="70"/>
  <c r="F15" i="70"/>
  <c r="G1" i="70"/>
  <c r="Q73" i="69"/>
  <c r="Q60" i="69"/>
  <c r="D60" i="69"/>
  <c r="Q59" i="69"/>
  <c r="K59" i="69"/>
  <c r="P75" i="69" s="1"/>
  <c r="Q52" i="69"/>
  <c r="J50" i="69"/>
  <c r="J51" i="69" s="1"/>
  <c r="M47" i="69"/>
  <c r="F34" i="69"/>
  <c r="F61" i="69" s="1"/>
  <c r="F33" i="69"/>
  <c r="F60" i="69" s="1"/>
  <c r="F32" i="69"/>
  <c r="F59" i="69" s="1"/>
  <c r="F28" i="69"/>
  <c r="C28" i="69"/>
  <c r="F23" i="69"/>
  <c r="D24" i="69" s="1"/>
  <c r="D23" i="69"/>
  <c r="D22" i="69"/>
  <c r="F21" i="69"/>
  <c r="M20" i="69"/>
  <c r="F20" i="69"/>
  <c r="M19" i="69"/>
  <c r="M18" i="69"/>
  <c r="F18" i="69"/>
  <c r="F17" i="69"/>
  <c r="F15" i="69"/>
  <c r="G1" i="69"/>
  <c r="G22" i="6"/>
  <c r="F21" i="6"/>
  <c r="F20" i="6"/>
  <c r="F19" i="6"/>
  <c r="B37" i="9"/>
  <c r="F42" i="70"/>
  <c r="M28" i="70"/>
  <c r="M22" i="70"/>
  <c r="F9" i="70"/>
  <c r="M22" i="69"/>
  <c r="F8" i="69"/>
  <c r="L47" i="69"/>
  <c r="L47" i="70"/>
  <c r="F36" i="70"/>
  <c r="M24" i="70"/>
  <c r="F8" i="70"/>
  <c r="F7" i="70"/>
  <c r="F9" i="69"/>
  <c r="P75" i="71" l="1"/>
  <c r="P62" i="71"/>
  <c r="D23" i="71"/>
  <c r="D22" i="71"/>
  <c r="D24" i="71"/>
  <c r="F49" i="70"/>
  <c r="M7" i="70"/>
  <c r="F50" i="70"/>
  <c r="C48" i="70" s="1"/>
  <c r="F63" i="70"/>
  <c r="L59" i="70"/>
  <c r="F61" i="70"/>
  <c r="L59" i="69"/>
  <c r="F50" i="69"/>
  <c r="P62" i="69"/>
  <c r="AH5" i="59"/>
  <c r="AG5" i="59"/>
  <c r="AE5" i="59"/>
  <c r="AF5" i="59" s="1"/>
  <c r="AD5" i="59"/>
  <c r="Q5" i="59"/>
  <c r="P5" i="59"/>
  <c r="O5" i="59"/>
  <c r="N5" i="59"/>
  <c r="L47" i="71"/>
  <c r="M24" i="71"/>
  <c r="M6" i="71"/>
  <c r="M23" i="71"/>
  <c r="L48" i="71"/>
  <c r="M26" i="71"/>
  <c r="F38" i="71"/>
  <c r="M28" i="71"/>
  <c r="F9" i="71"/>
  <c r="M8" i="71"/>
  <c r="F37" i="71"/>
  <c r="M9" i="71"/>
  <c r="F40" i="71"/>
  <c r="M6" i="70"/>
  <c r="F16" i="70"/>
  <c r="M26" i="70"/>
  <c r="J36" i="70"/>
  <c r="L48" i="70"/>
  <c r="M8" i="70"/>
  <c r="J15" i="70"/>
  <c r="F26" i="70"/>
  <c r="M8" i="69"/>
  <c r="J15" i="69"/>
  <c r="M27" i="69"/>
  <c r="M24" i="69"/>
  <c r="M6" i="69"/>
  <c r="F16" i="69"/>
  <c r="M26" i="69"/>
  <c r="F40" i="69"/>
  <c r="M28" i="69"/>
  <c r="F26" i="69"/>
  <c r="L48" i="69"/>
  <c r="J36" i="69"/>
  <c r="M9" i="69"/>
  <c r="F38" i="69"/>
  <c r="F36" i="71"/>
  <c r="F8" i="71"/>
  <c r="F13" i="71"/>
  <c r="M27" i="71"/>
  <c r="F6" i="71"/>
  <c r="F42" i="71"/>
  <c r="M22" i="71"/>
  <c r="J15" i="71"/>
  <c r="F26" i="71"/>
  <c r="F16" i="71"/>
  <c r="J36" i="71"/>
  <c r="F40" i="70"/>
  <c r="M9" i="70"/>
  <c r="M23" i="70"/>
  <c r="F38" i="70"/>
  <c r="F6" i="70"/>
  <c r="F13" i="70"/>
  <c r="M27" i="70"/>
  <c r="F37" i="70"/>
  <c r="F6" i="69"/>
  <c r="F13" i="69"/>
  <c r="F36" i="69"/>
  <c r="M23" i="69"/>
  <c r="F37" i="69"/>
  <c r="F42" i="69"/>
  <c r="F67" i="71" l="1"/>
  <c r="Q72" i="71"/>
  <c r="F64" i="71"/>
  <c r="C27" i="71"/>
  <c r="F65" i="71"/>
  <c r="L56" i="71"/>
  <c r="L57" i="71"/>
  <c r="J53" i="71"/>
  <c r="L60" i="71"/>
  <c r="J57" i="71"/>
  <c r="J55" i="71" s="1"/>
  <c r="J58" i="71" s="1"/>
  <c r="Q51" i="71" s="1"/>
  <c r="J60" i="71"/>
  <c r="Q49" i="71" s="1"/>
  <c r="J59" i="71"/>
  <c r="L46" i="71"/>
  <c r="I54" i="71"/>
  <c r="F50" i="71"/>
  <c r="F63" i="71"/>
  <c r="L59" i="71"/>
  <c r="L58" i="71"/>
  <c r="F64" i="70"/>
  <c r="C27" i="70"/>
  <c r="F31" i="70"/>
  <c r="C6" i="70"/>
  <c r="L60" i="70"/>
  <c r="L56" i="70"/>
  <c r="L57" i="70"/>
  <c r="L58" i="70"/>
  <c r="J59" i="70"/>
  <c r="J60" i="70"/>
  <c r="Q49" i="70" s="1"/>
  <c r="I54" i="70"/>
  <c r="J57" i="70"/>
  <c r="J55" i="70" s="1"/>
  <c r="J58" i="70" s="1"/>
  <c r="Q51" i="70" s="1"/>
  <c r="J53" i="70"/>
  <c r="F65" i="70"/>
  <c r="Q72" i="70"/>
  <c r="J6" i="70"/>
  <c r="M17" i="70"/>
  <c r="F67" i="70"/>
  <c r="Q75" i="70"/>
  <c r="Q62" i="70"/>
  <c r="F58" i="70"/>
  <c r="L56" i="69"/>
  <c r="L57" i="69"/>
  <c r="J60" i="69"/>
  <c r="Q49" i="69" s="1"/>
  <c r="J57" i="69"/>
  <c r="J55" i="69" s="1"/>
  <c r="J58" i="69" s="1"/>
  <c r="Q51" i="69" s="1"/>
  <c r="L58" i="69"/>
  <c r="L60" i="69"/>
  <c r="I54" i="69"/>
  <c r="J59" i="69"/>
  <c r="J53" i="69"/>
  <c r="F65" i="69"/>
  <c r="C27" i="69"/>
  <c r="F67" i="69"/>
  <c r="F64" i="69"/>
  <c r="F63" i="69"/>
  <c r="Q72" i="69"/>
  <c r="Q75" i="69"/>
  <c r="Q62" i="69"/>
  <c r="E20" i="46"/>
  <c r="Q75" i="71" l="1"/>
  <c r="Q62" i="71"/>
  <c r="Q67" i="71"/>
  <c r="Q58" i="71"/>
  <c r="Q61" i="71"/>
  <c r="Q74" i="71"/>
  <c r="Q53" i="71"/>
  <c r="F1" i="71"/>
  <c r="J18" i="70"/>
  <c r="Q61" i="70"/>
  <c r="Q74" i="70"/>
  <c r="Q67" i="70"/>
  <c r="Q58" i="70"/>
  <c r="Q53" i="70"/>
  <c r="F1" i="70"/>
  <c r="L46" i="70"/>
  <c r="C32" i="70"/>
  <c r="Q53" i="69"/>
  <c r="F1" i="69"/>
  <c r="Q61" i="69"/>
  <c r="Q74" i="69"/>
  <c r="L46" i="69"/>
  <c r="Q67" i="69"/>
  <c r="Q58" i="69"/>
  <c r="AH6" i="59"/>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s="1"/>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I23" i="57"/>
  <c r="D20" i="57"/>
  <c r="I19" i="57"/>
  <c r="I18" i="57"/>
  <c r="I17" i="57"/>
  <c r="I20" i="57"/>
  <c r="E15" i="57"/>
  <c r="I14" i="57"/>
  <c r="I13" i="57"/>
  <c r="I12" i="57"/>
  <c r="I15" i="57"/>
  <c r="I9" i="57"/>
  <c r="I8" i="57"/>
  <c r="I7" i="57"/>
  <c r="I6" i="57"/>
  <c r="I5" i="57"/>
  <c r="I4" i="57"/>
  <c r="I3" i="57"/>
  <c r="I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s="1"/>
  <c r="F40" i="39"/>
  <c r="AA40" i="39" s="1"/>
  <c r="F42" i="39"/>
  <c r="AA42" i="39"/>
  <c r="H10" i="39"/>
  <c r="AB10" i="39" s="1"/>
  <c r="H11" i="39"/>
  <c r="AB11" i="39"/>
  <c r="H36" i="39"/>
  <c r="AB36" i="39" s="1"/>
  <c r="H40" i="39"/>
  <c r="AB40" i="39" s="1"/>
  <c r="H42" i="39"/>
  <c r="AB42" i="39"/>
  <c r="J10" i="39"/>
  <c r="AC10" i="39" s="1"/>
  <c r="J11" i="39"/>
  <c r="AC11" i="39"/>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E5" i="3" s="1"/>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G16" i="3" s="1"/>
  <c r="G5" i="3" s="1"/>
  <c r="B3" i="3" s="1"/>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s="1"/>
  <c r="Q15" i="39"/>
  <c r="Z15" i="39"/>
  <c r="Q14" i="39"/>
  <c r="Z14" i="39"/>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c r="J33" i="39"/>
  <c r="AC33" i="39" s="1"/>
  <c r="F44" i="39"/>
  <c r="S44" i="39"/>
  <c r="H44" i="39"/>
  <c r="U44" i="39"/>
  <c r="J44" i="39"/>
  <c r="W44" i="39"/>
  <c r="E128" i="39"/>
  <c r="F128" i="39"/>
  <c r="G128" i="39"/>
  <c r="H128" i="39"/>
  <c r="I128" i="39"/>
  <c r="J128" i="39"/>
  <c r="K128" i="39"/>
  <c r="L128" i="39"/>
  <c r="M128" i="39"/>
  <c r="F46" i="39"/>
  <c r="S46" i="39" s="1"/>
  <c r="H46" i="39"/>
  <c r="U46" i="39" s="1"/>
  <c r="J46" i="39"/>
  <c r="W46" i="39" s="1"/>
  <c r="F29" i="39"/>
  <c r="AA29" i="39" s="1"/>
  <c r="E103" i="39"/>
  <c r="F103" i="39"/>
  <c r="G103" i="39"/>
  <c r="H29" i="39"/>
  <c r="U29" i="39" s="1"/>
  <c r="F34" i="39"/>
  <c r="AA34" i="39"/>
  <c r="H34" i="39"/>
  <c r="AB34" i="39"/>
  <c r="J34" i="39"/>
  <c r="AC34" i="39"/>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J37" i="34"/>
  <c r="AC37" i="34"/>
  <c r="J36" i="33"/>
  <c r="W36" i="33"/>
  <c r="S41" i="40"/>
  <c r="AB23" i="40"/>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S14" i="39"/>
  <c r="U11" i="39"/>
  <c r="U41" i="39"/>
  <c r="U23" i="39"/>
  <c r="AB38" i="39"/>
  <c r="U31" i="39"/>
  <c r="AB31" i="39"/>
  <c r="S38" i="39"/>
  <c r="S22" i="31"/>
  <c r="M20" i="15"/>
  <c r="D96" i="9"/>
  <c r="F28" i="15"/>
  <c r="M18" i="15"/>
  <c r="BA17" i="3"/>
  <c r="AZ17" i="3"/>
  <c r="F3" i="35"/>
  <c r="K1" i="43"/>
  <c r="K1" i="12"/>
  <c r="G1" i="44"/>
  <c r="I4" i="6"/>
  <c r="G3" i="46"/>
  <c r="H101" i="46" s="1"/>
  <c r="H102" i="46" s="1"/>
  <c r="AZ15" i="3"/>
  <c r="BK5" i="3"/>
  <c r="BO5" i="3"/>
  <c r="BP5" i="3"/>
  <c r="BN5" i="3"/>
  <c r="BL18" i="3"/>
  <c r="AZ18" i="3"/>
  <c r="BC5" i="3"/>
  <c r="E8" i="6"/>
  <c r="BD5" i="3"/>
  <c r="BR5" i="3"/>
  <c r="G28" i="6" s="1"/>
  <c r="BS5" i="3"/>
  <c r="F28" i="6" s="1"/>
  <c r="BQ5" i="3"/>
  <c r="BL16" i="3"/>
  <c r="BL5" i="3" s="1"/>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46" i="50"/>
  <c r="B4" i="63" s="1"/>
  <c r="C46" i="36"/>
  <c r="D46" i="36" s="1"/>
  <c r="E46" i="36" s="1"/>
  <c r="F46" i="36" s="1"/>
  <c r="G46" i="36" s="1"/>
  <c r="H46" i="36" s="1"/>
  <c r="H86" i="46"/>
  <c r="H82" i="46"/>
  <c r="H10" i="48"/>
  <c r="H87" i="46"/>
  <c r="H85" i="46"/>
  <c r="H83" i="46"/>
  <c r="K10" i="1"/>
  <c r="M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AC37" i="39"/>
  <c r="U14" i="39"/>
  <c r="W16"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AT6" i="3"/>
  <c r="AZ13" i="3"/>
  <c r="G29" i="6"/>
  <c r="A9" i="64"/>
  <c r="A9" i="51"/>
  <c r="B9" i="63" s="1"/>
  <c r="G66" i="36"/>
  <c r="J18" i="36"/>
  <c r="W18" i="36"/>
  <c r="AC18" i="36"/>
  <c r="AG6" i="1"/>
  <c r="L20" i="6"/>
  <c r="L19" i="6"/>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H1" i="65"/>
  <c r="H51" i="46"/>
  <c r="X7" i="46"/>
  <c r="E17" i="46"/>
  <c r="N17" i="46"/>
  <c r="O17" i="46"/>
  <c r="M17" i="46"/>
  <c r="L17" i="46"/>
  <c r="AP7" i="1"/>
  <c r="G6" i="1"/>
  <c r="H70" i="46"/>
  <c r="H73" i="46"/>
  <c r="H50" i="46"/>
  <c r="H48" i="46"/>
  <c r="F35" i="46"/>
  <c r="I17" i="46"/>
  <c r="G17" i="46" s="1"/>
  <c r="C16" i="46" s="1"/>
  <c r="H63" i="46"/>
  <c r="H64" i="46"/>
  <c r="H66" i="46"/>
  <c r="D100" i="46"/>
  <c r="H62" i="46"/>
  <c r="AF12" i="46"/>
  <c r="K100" i="46"/>
  <c r="AB12" i="46"/>
  <c r="AJ12" i="46"/>
  <c r="N104" i="45"/>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7" i="46"/>
  <c r="D14" i="59"/>
  <c r="D13" i="59"/>
  <c r="G20" i="46"/>
  <c r="E41" i="46"/>
  <c r="C41" i="46"/>
  <c r="M29" i="70"/>
  <c r="F43" i="70"/>
  <c r="F43" i="69"/>
  <c r="M29" i="69"/>
  <c r="F7" i="69"/>
  <c r="F43" i="71"/>
  <c r="F7" i="71"/>
  <c r="M29" i="71"/>
  <c r="AE7" i="1"/>
  <c r="F41" i="70"/>
  <c r="F39" i="44"/>
  <c r="M23" i="15"/>
  <c r="J36" i="15"/>
  <c r="J7" i="65"/>
  <c r="B10" i="67"/>
  <c r="M11" i="44"/>
  <c r="M6" i="15"/>
  <c r="J5" i="65"/>
  <c r="B9" i="67"/>
  <c r="N4" i="65"/>
  <c r="B14" i="67"/>
  <c r="F8" i="67"/>
  <c r="M23" i="44"/>
  <c r="I6" i="65"/>
  <c r="N6" i="65"/>
  <c r="E14" i="67"/>
  <c r="M10" i="44"/>
  <c r="L47" i="15"/>
  <c r="F42" i="15"/>
  <c r="F9" i="44"/>
  <c r="E12" i="67"/>
  <c r="B12" i="67"/>
  <c r="F10" i="44"/>
  <c r="F40" i="44"/>
  <c r="F43" i="44"/>
  <c r="I7" i="65"/>
  <c r="M28" i="44"/>
  <c r="M29" i="44"/>
  <c r="M29" i="15"/>
  <c r="J4" i="65"/>
  <c r="M24" i="44"/>
  <c r="M24" i="15"/>
  <c r="E9" i="67"/>
  <c r="J17" i="44"/>
  <c r="J6" i="65"/>
  <c r="B11" i="67"/>
  <c r="N3" i="65"/>
  <c r="F26" i="15"/>
  <c r="F46" i="44"/>
  <c r="F43" i="15"/>
  <c r="F13" i="15"/>
  <c r="E8" i="67"/>
  <c r="E10" i="67"/>
  <c r="L48" i="44"/>
  <c r="F40" i="15"/>
  <c r="F14" i="67"/>
  <c r="N7" i="65"/>
  <c r="M22" i="15"/>
  <c r="AE6" i="1"/>
  <c r="F41" i="69"/>
  <c r="M31" i="44"/>
  <c r="C19" i="44"/>
  <c r="F8" i="15"/>
  <c r="J3" i="65"/>
  <c r="F37" i="44"/>
  <c r="M26" i="44"/>
  <c r="F9" i="15"/>
  <c r="F9" i="67"/>
  <c r="F15" i="44"/>
  <c r="M26" i="15"/>
  <c r="L48" i="15"/>
  <c r="F13" i="67"/>
  <c r="F28" i="44"/>
  <c r="M27" i="15"/>
  <c r="M25" i="44"/>
  <c r="L49" i="44"/>
  <c r="B13" i="67"/>
  <c r="F11" i="44"/>
  <c r="F18" i="44"/>
  <c r="N5" i="65"/>
  <c r="I4" i="65"/>
  <c r="F16" i="15"/>
  <c r="F45" i="44"/>
  <c r="F38" i="44"/>
  <c r="F37" i="15"/>
  <c r="M30" i="44"/>
  <c r="I5" i="65"/>
  <c r="F11" i="67"/>
  <c r="I3" i="65"/>
  <c r="E11" i="67"/>
  <c r="E13" i="67"/>
  <c r="F12" i="67"/>
  <c r="F8" i="44"/>
  <c r="F38" i="15"/>
  <c r="M8" i="15"/>
  <c r="J15" i="15"/>
  <c r="F7" i="15"/>
  <c r="F6" i="15"/>
  <c r="M8" i="44"/>
  <c r="F36" i="15"/>
  <c r="B8" i="67"/>
  <c r="F10" i="67"/>
  <c r="M9" i="15"/>
  <c r="M28" i="15"/>
  <c r="W40" i="39" l="1"/>
  <c r="S27" i="39"/>
  <c r="AC31" i="39"/>
  <c r="S31" i="39"/>
  <c r="W29" i="39"/>
  <c r="W27" i="39"/>
  <c r="U27" i="39"/>
  <c r="S25" i="39"/>
  <c r="W25" i="39"/>
  <c r="AB25" i="39"/>
  <c r="S23" i="39"/>
  <c r="W23" i="39"/>
  <c r="U21" i="39"/>
  <c r="U19" i="39"/>
  <c r="AC17" i="39"/>
  <c r="S17" i="39"/>
  <c r="AB17" i="39"/>
  <c r="AB15" i="39"/>
  <c r="S16" i="39"/>
  <c r="W15" i="39"/>
  <c r="B54" i="46"/>
  <c r="Z11" i="46"/>
  <c r="Z13" i="46" s="1"/>
  <c r="N101" i="46"/>
  <c r="N105" i="46" s="1"/>
  <c r="J22" i="46"/>
  <c r="E407" i="3"/>
  <c r="E441" i="3"/>
  <c r="E309" i="3"/>
  <c r="E19" i="3"/>
  <c r="E240" i="3"/>
  <c r="E93" i="3"/>
  <c r="E124" i="3"/>
  <c r="E99" i="3"/>
  <c r="E24" i="3"/>
  <c r="E371" i="3"/>
  <c r="E13" i="3"/>
  <c r="E476" i="3"/>
  <c r="E570" i="3"/>
  <c r="E82" i="3"/>
  <c r="E101" i="3"/>
  <c r="BA16" i="3"/>
  <c r="AF11" i="46"/>
  <c r="AF13" i="46" s="1"/>
  <c r="Z7" i="46"/>
  <c r="C101" i="46"/>
  <c r="C109" i="46" s="1"/>
  <c r="H22" i="46"/>
  <c r="E262" i="3"/>
  <c r="E164" i="3"/>
  <c r="E388" i="3"/>
  <c r="E409" i="3"/>
  <c r="E55" i="3"/>
  <c r="E114" i="3"/>
  <c r="E326" i="3"/>
  <c r="E488" i="3"/>
  <c r="E267" i="3"/>
  <c r="E108" i="3"/>
  <c r="E224" i="3"/>
  <c r="E203" i="3"/>
  <c r="E261" i="3"/>
  <c r="C23" i="46"/>
  <c r="AB11" i="46"/>
  <c r="AB13" i="46" s="1"/>
  <c r="AA11" i="46"/>
  <c r="AA13" i="46" s="1"/>
  <c r="E22" i="46"/>
  <c r="F22" i="46"/>
  <c r="J101" i="46"/>
  <c r="AD11" i="46"/>
  <c r="AD13" i="46" s="1"/>
  <c r="I101" i="46"/>
  <c r="D101" i="46"/>
  <c r="D106" i="46" s="1"/>
  <c r="E57" i="3"/>
  <c r="E552" i="3"/>
  <c r="E434" i="3"/>
  <c r="E77" i="3"/>
  <c r="E146" i="3"/>
  <c r="E430" i="3"/>
  <c r="E222" i="3"/>
  <c r="E83" i="3"/>
  <c r="E375" i="3"/>
  <c r="E282" i="3"/>
  <c r="E394" i="3"/>
  <c r="E348" i="3"/>
  <c r="E192" i="3"/>
  <c r="E557" i="3"/>
  <c r="E382" i="3"/>
  <c r="E71" i="3"/>
  <c r="E329" i="3"/>
  <c r="E514" i="3"/>
  <c r="E35" i="3"/>
  <c r="E277" i="3"/>
  <c r="E508" i="3"/>
  <c r="E66" i="3"/>
  <c r="E74" i="3"/>
  <c r="E417" i="3"/>
  <c r="N104" i="46"/>
  <c r="L27" i="6"/>
  <c r="M7" i="71"/>
  <c r="F31" i="71"/>
  <c r="F49" i="71"/>
  <c r="C6" i="71"/>
  <c r="F70" i="71"/>
  <c r="M7" i="69"/>
  <c r="F49" i="69"/>
  <c r="F31" i="69"/>
  <c r="C6" i="69"/>
  <c r="F70" i="69"/>
  <c r="F70" i="70"/>
  <c r="E381" i="3"/>
  <c r="E404" i="3"/>
  <c r="E415" i="3"/>
  <c r="E168" i="3"/>
  <c r="E293" i="3"/>
  <c r="E111" i="3"/>
  <c r="E402" i="3"/>
  <c r="E255" i="3"/>
  <c r="E145"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26" i="3"/>
  <c r="S6" i="3"/>
  <c r="E322" i="3"/>
  <c r="E511" i="3"/>
  <c r="E17" i="3"/>
  <c r="E377" i="3"/>
  <c r="E18" i="3"/>
  <c r="E358" i="3"/>
  <c r="E509"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278" i="3"/>
  <c r="E304" i="3"/>
  <c r="E28" i="3"/>
  <c r="E560" i="3"/>
  <c r="E172" i="3"/>
  <c r="E279" i="3"/>
  <c r="E448" i="3"/>
  <c r="E121" i="3"/>
  <c r="E123" i="3"/>
  <c r="E76" i="3"/>
  <c r="E271" i="3"/>
  <c r="E493" i="3"/>
  <c r="E81" i="3"/>
  <c r="E524" i="3"/>
  <c r="E212" i="3"/>
  <c r="E182" i="3"/>
  <c r="E312" i="3"/>
  <c r="E512" i="3"/>
  <c r="E567" i="3"/>
  <c r="E406" i="3"/>
  <c r="E244" i="3"/>
  <c r="E137" i="3"/>
  <c r="E301" i="3"/>
  <c r="E484" i="3"/>
  <c r="E380" i="3"/>
  <c r="E503" i="3"/>
  <c r="E86" i="3"/>
  <c r="E68" i="3"/>
  <c r="E135" i="3"/>
  <c r="E147" i="3"/>
  <c r="E22" i="3"/>
  <c r="E439" i="3"/>
  <c r="E459" i="3"/>
  <c r="E117" i="3"/>
  <c r="E231" i="3"/>
  <c r="E528" i="3"/>
  <c r="E470" i="3"/>
  <c r="E349" i="3"/>
  <c r="E186" i="3"/>
  <c r="E311" i="3"/>
  <c r="E263" i="3"/>
  <c r="E424" i="3"/>
  <c r="E103" i="3"/>
  <c r="E548" i="3"/>
  <c r="E200" i="3"/>
  <c r="Z6" i="3"/>
  <c r="E62" i="3"/>
  <c r="E454" i="3"/>
  <c r="E389" i="3"/>
  <c r="E520" i="3"/>
  <c r="E230" i="3"/>
  <c r="AK6" i="3"/>
  <c r="E143" i="3"/>
  <c r="Y11" i="46"/>
  <c r="Y13" i="46" s="1"/>
  <c r="G22" i="46"/>
  <c r="F101" i="46"/>
  <c r="M101" i="46"/>
  <c r="M109" i="46" s="1"/>
  <c r="AC11" i="46"/>
  <c r="AC13" i="46" s="1"/>
  <c r="AJ11" i="46"/>
  <c r="AJ13" i="46" s="1"/>
  <c r="G101" i="46"/>
  <c r="B113" i="46"/>
  <c r="L101" i="46"/>
  <c r="E101" i="46"/>
  <c r="E103" i="46" s="1"/>
  <c r="K101" i="46"/>
  <c r="AG11" i="46"/>
  <c r="AG13" i="46" s="1"/>
  <c r="AH11" i="46"/>
  <c r="AH13" i="46" s="1"/>
  <c r="AI11" i="46"/>
  <c r="AI13" i="46" s="1"/>
  <c r="AE11" i="46"/>
  <c r="AE13" i="46" s="1"/>
  <c r="BA5" i="3"/>
  <c r="AZ16" i="3"/>
  <c r="AZ5" i="3" s="1"/>
  <c r="C103" i="46"/>
  <c r="M8" i="1"/>
  <c r="M6" i="1"/>
  <c r="M7" i="1"/>
  <c r="D18" i="9"/>
  <c r="M44" i="9" s="1"/>
  <c r="M43" i="9"/>
  <c r="U47" i="39"/>
  <c r="S40" i="39"/>
  <c r="U10" i="39"/>
  <c r="O8" i="1"/>
  <c r="P8" i="1" s="1"/>
  <c r="A30" i="51"/>
  <c r="B22" i="63" s="1"/>
  <c r="A30" i="64"/>
  <c r="I21" i="57"/>
  <c r="C28" i="57"/>
  <c r="C27" i="57"/>
  <c r="F68" i="70"/>
  <c r="F68" i="69"/>
  <c r="C5" i="46"/>
  <c r="D5" i="46"/>
  <c r="J103" i="46"/>
  <c r="I105" i="46"/>
  <c r="H16" i="1"/>
  <c r="C106" i="46"/>
  <c r="C104" i="46"/>
  <c r="J102" i="46"/>
  <c r="N109" i="46"/>
  <c r="N103" i="46"/>
  <c r="I109" i="46"/>
  <c r="J109" i="46"/>
  <c r="C105" i="46"/>
  <c r="C102" i="46"/>
  <c r="C107" i="46"/>
  <c r="J105" i="46"/>
  <c r="J104" i="46"/>
  <c r="I107" i="46"/>
  <c r="N102" i="46"/>
  <c r="N106" i="46"/>
  <c r="I103" i="46"/>
  <c r="N107" i="46"/>
  <c r="I104" i="46"/>
  <c r="H104" i="46"/>
  <c r="H105" i="46"/>
  <c r="M105" i="46"/>
  <c r="E53" i="40"/>
  <c r="F27" i="6"/>
  <c r="E27" i="6" s="1"/>
  <c r="E58" i="39"/>
  <c r="E561" i="3"/>
  <c r="E23"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283" i="3"/>
  <c r="E156" i="3"/>
  <c r="E49" i="3"/>
  <c r="E193" i="3"/>
  <c r="E104" i="3"/>
  <c r="E36" i="3"/>
  <c r="E237" i="3"/>
  <c r="E428" i="3"/>
  <c r="E100" i="3"/>
  <c r="E374" i="3"/>
  <c r="E223" i="3"/>
  <c r="E205" i="3"/>
  <c r="E399" i="3"/>
  <c r="E478" i="3"/>
  <c r="E317" i="3"/>
  <c r="E357" i="3"/>
  <c r="E179" i="3"/>
  <c r="AS6" i="3"/>
  <c r="E444" i="3"/>
  <c r="E383" i="3"/>
  <c r="E232" i="3"/>
  <c r="E533" i="3"/>
  <c r="E189" i="3"/>
  <c r="E37" i="3"/>
  <c r="E507" i="3"/>
  <c r="E303" i="3"/>
  <c r="E275"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227" i="3"/>
  <c r="E504" i="3"/>
  <c r="E516" i="3"/>
  <c r="E510" i="3"/>
  <c r="E572" i="3"/>
  <c r="E368" i="3"/>
  <c r="E522" i="3"/>
  <c r="AL6" i="3"/>
  <c r="E342" i="3"/>
  <c r="E351" i="3"/>
  <c r="E364" i="3"/>
  <c r="E163" i="3"/>
  <c r="E378" i="3"/>
  <c r="E226" i="3"/>
  <c r="E118" i="3"/>
  <c r="E169" i="3"/>
  <c r="E14"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480" i="3"/>
  <c r="E88" i="3"/>
  <c r="E393" i="3"/>
  <c r="E288" i="3"/>
  <c r="E107" i="3"/>
  <c r="E39" i="3"/>
  <c r="E233" i="3"/>
  <c r="E420" i="3"/>
  <c r="E190" i="3"/>
  <c r="E550" i="3"/>
  <c r="E34" i="3"/>
  <c r="E141" i="3"/>
  <c r="E80" i="3"/>
  <c r="E367" i="3"/>
  <c r="E30" i="3"/>
  <c r="E165" i="3"/>
  <c r="E131" i="3"/>
  <c r="E94" i="3"/>
  <c r="E427" i="3"/>
  <c r="E535"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D22" i="46"/>
  <c r="C21" i="46" s="1"/>
  <c r="A18" i="64"/>
  <c r="B74" i="63" s="1"/>
  <c r="C53" i="10"/>
  <c r="A25" i="64" s="1"/>
  <c r="L5" i="54"/>
  <c r="B39" i="63" s="1"/>
  <c r="K5" i="54"/>
  <c r="T41" i="4"/>
  <c r="A18" i="51"/>
  <c r="B14" i="63" s="1"/>
  <c r="A17" i="64"/>
  <c r="A17" i="51"/>
  <c r="B13" i="63" s="1"/>
  <c r="G9" i="1"/>
  <c r="K17" i="4"/>
  <c r="A22" i="51" s="1"/>
  <c r="B16" i="63" s="1"/>
  <c r="L106" i="46"/>
  <c r="E107" i="46"/>
  <c r="K105" i="46"/>
  <c r="K106" i="46"/>
  <c r="H106" i="46"/>
  <c r="H109" i="46"/>
  <c r="H107" i="46"/>
  <c r="H103" i="46"/>
  <c r="D21" i="12"/>
  <c r="C21" i="12" s="1"/>
  <c r="G30" i="6"/>
  <c r="G31" i="6" s="1"/>
  <c r="E29" i="6"/>
  <c r="O6" i="1"/>
  <c r="P6" i="1" s="1"/>
  <c r="O9" i="1"/>
  <c r="P9" i="1" s="1"/>
  <c r="E15" i="6"/>
  <c r="E12" i="6"/>
  <c r="E11" i="6"/>
  <c r="E14" i="6"/>
  <c r="E13" i="6"/>
  <c r="E10" i="6"/>
  <c r="O12" i="1"/>
  <c r="P12" i="1" s="1"/>
  <c r="K15" i="1"/>
  <c r="O10" i="1"/>
  <c r="P10" i="1" s="1"/>
  <c r="E28" i="6"/>
  <c r="F30" i="6"/>
  <c r="F31" i="6" s="1"/>
  <c r="O7" i="1"/>
  <c r="P7" i="1" s="1"/>
  <c r="O11" i="1"/>
  <c r="P11" i="1" s="1"/>
  <c r="O13" i="1"/>
  <c r="P13" i="1" s="1"/>
  <c r="F103" i="46"/>
  <c r="F102" i="46"/>
  <c r="F109" i="46"/>
  <c r="Q16" i="1"/>
  <c r="I14" i="66"/>
  <c r="B8" i="66" s="1"/>
  <c r="AP16" i="1"/>
  <c r="F22" i="11" s="1"/>
  <c r="G10" i="1"/>
  <c r="G13" i="1"/>
  <c r="F6" i="59"/>
  <c r="V7" i="59"/>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4" i="4" s="1"/>
  <c r="B21" i="55" s="1"/>
  <c r="B72" i="63" s="1"/>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C16" i="71"/>
  <c r="C16" i="70"/>
  <c r="C16" i="69"/>
  <c r="C16" i="15"/>
  <c r="E2" i="65"/>
  <c r="C18" i="44"/>
  <c r="E3" i="65"/>
  <c r="D102" i="46" l="1"/>
  <c r="D105" i="46"/>
  <c r="D107" i="46"/>
  <c r="D104" i="46"/>
  <c r="H6" i="3"/>
  <c r="D103" i="46"/>
  <c r="M103" i="46"/>
  <c r="M104" i="46"/>
  <c r="D109" i="46"/>
  <c r="I102" i="46"/>
  <c r="I106" i="46"/>
  <c r="J106" i="46"/>
  <c r="J107" i="46"/>
  <c r="E106" i="46"/>
  <c r="E105" i="46"/>
  <c r="E104" i="46"/>
  <c r="E109" i="46"/>
  <c r="E102"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C115" i="46" s="1"/>
  <c r="D118" i="46"/>
  <c r="E118" i="46" s="1"/>
  <c r="F118" i="46" s="1"/>
  <c r="B117" i="46"/>
  <c r="C117" i="46" s="1"/>
  <c r="I115" i="46"/>
  <c r="J115" i="46" s="1"/>
  <c r="K115" i="46" s="1"/>
  <c r="L115" i="46" s="1"/>
  <c r="M115" i="46" s="1"/>
  <c r="B116" i="46"/>
  <c r="C116" i="46" s="1"/>
  <c r="I117" i="46"/>
  <c r="J117" i="46" s="1"/>
  <c r="K117" i="46" s="1"/>
  <c r="L117" i="46" s="1"/>
  <c r="M117" i="46" s="1"/>
  <c r="M107" i="46"/>
  <c r="M102" i="46"/>
  <c r="M106" i="46"/>
  <c r="M17" i="69"/>
  <c r="J6" i="69"/>
  <c r="J18" i="69" s="1"/>
  <c r="C32" i="71"/>
  <c r="C33" i="71"/>
  <c r="E3" i="6"/>
  <c r="AY6" i="3"/>
  <c r="K103" i="46"/>
  <c r="K107" i="46"/>
  <c r="K104" i="46"/>
  <c r="K109" i="46"/>
  <c r="K102" i="46"/>
  <c r="L105" i="46"/>
  <c r="L102" i="46"/>
  <c r="L109" i="46"/>
  <c r="L107" i="46"/>
  <c r="L104" i="46"/>
  <c r="L103" i="46"/>
  <c r="G106" i="46"/>
  <c r="G104" i="46"/>
  <c r="G107" i="46"/>
  <c r="G102" i="46"/>
  <c r="G109" i="46"/>
  <c r="G103" i="46"/>
  <c r="G105" i="46"/>
  <c r="F106" i="46"/>
  <c r="F107" i="46"/>
  <c r="F104" i="46"/>
  <c r="F105" i="46"/>
  <c r="C33" i="69"/>
  <c r="C32" i="69"/>
  <c r="C48" i="69"/>
  <c r="C60" i="69" s="1"/>
  <c r="F58" i="69"/>
  <c r="C48" i="71"/>
  <c r="C60" i="71" s="1"/>
  <c r="F58" i="71"/>
  <c r="M17" i="71"/>
  <c r="J6" i="71"/>
  <c r="J18" i="71" s="1"/>
  <c r="C32" i="57"/>
  <c r="C30" i="57"/>
  <c r="D1" i="57"/>
  <c r="E10" i="57" s="1"/>
  <c r="C29" i="57"/>
  <c r="F11" i="71"/>
  <c r="M11" i="71"/>
  <c r="J10" i="71" s="1"/>
  <c r="J5" i="71" s="1"/>
  <c r="M11" i="70"/>
  <c r="J10" i="70" s="1"/>
  <c r="J5" i="70" s="1"/>
  <c r="F11" i="70"/>
  <c r="F11" i="69"/>
  <c r="M11" i="69"/>
  <c r="J10" i="69" s="1"/>
  <c r="J5" i="69" s="1"/>
  <c r="S2" i="46"/>
  <c r="S7" i="46"/>
  <c r="S4" i="46"/>
  <c r="S5" i="46"/>
  <c r="S3" i="46"/>
  <c r="S6" i="46"/>
  <c r="AC6" i="3"/>
  <c r="E6" i="3" s="1"/>
  <c r="A25" i="51"/>
  <c r="B18" i="63" s="1"/>
  <c r="A3" i="55"/>
  <c r="B56" i="63" s="1"/>
  <c r="B38" i="63"/>
  <c r="G16" i="1"/>
  <c r="J12" i="40" s="1"/>
  <c r="F33" i="12"/>
  <c r="C34" i="12" s="1"/>
  <c r="D33" i="12" s="1"/>
  <c r="F24" i="43"/>
  <c r="C26" i="43" s="1"/>
  <c r="D24" i="43" s="1"/>
  <c r="E65" i="39"/>
  <c r="E60" i="40"/>
  <c r="E59" i="40"/>
  <c r="E64" i="39"/>
  <c r="K20" i="6"/>
  <c r="K14" i="1"/>
  <c r="K19" i="6"/>
  <c r="S6" i="1" s="1"/>
  <c r="K26" i="6"/>
  <c r="M26" i="6" s="1"/>
  <c r="I26" i="6" s="1"/>
  <c r="K24" i="6"/>
  <c r="M24" i="6" s="1"/>
  <c r="I24" i="6" s="1"/>
  <c r="K22" i="6"/>
  <c r="E30" i="6"/>
  <c r="E31" i="6" s="1"/>
  <c r="K23" i="6"/>
  <c r="M23" i="6" s="1"/>
  <c r="I23" i="6" s="1"/>
  <c r="K25" i="6"/>
  <c r="M25" i="6" s="1"/>
  <c r="I25" i="6" s="1"/>
  <c r="K21" i="6"/>
  <c r="E16" i="6"/>
  <c r="E66" i="39"/>
  <c r="E61" i="40"/>
  <c r="E58" i="40"/>
  <c r="E63" i="39"/>
  <c r="E62" i="40"/>
  <c r="E67" i="39"/>
  <c r="C4" i="4"/>
  <c r="B20" i="55" s="1"/>
  <c r="B70" i="63" s="1"/>
  <c r="F5" i="59"/>
  <c r="V5" i="59" s="1"/>
  <c r="J12" i="39"/>
  <c r="AC12" i="39" s="1"/>
  <c r="F7" i="21"/>
  <c r="AA7" i="21" s="1"/>
  <c r="R48" i="21" s="1"/>
  <c r="H7" i="21"/>
  <c r="AB7" i="21" s="1"/>
  <c r="T48" i="21" s="1"/>
  <c r="G48" i="21" s="1"/>
  <c r="B6" i="59"/>
  <c r="S7" i="59"/>
  <c r="E6" i="59"/>
  <c r="U7" i="59"/>
  <c r="F58" i="15"/>
  <c r="H7" i="35"/>
  <c r="U7" i="35" s="1"/>
  <c r="B40" i="1"/>
  <c r="F24" i="71" s="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7" i="69"/>
  <c r="AE9" i="1"/>
  <c r="E68" i="39" l="1"/>
  <c r="D16" i="43"/>
  <c r="C16" i="43" s="1"/>
  <c r="C21" i="4"/>
  <c r="O5" i="54" s="1"/>
  <c r="B45" i="63" s="1"/>
  <c r="L38" i="9"/>
  <c r="B14" i="66" s="1"/>
  <c r="B1" i="66" s="1"/>
  <c r="D16" i="12"/>
  <c r="D45" i="9"/>
  <c r="E6" i="6"/>
  <c r="D46" i="9"/>
  <c r="D113" i="46"/>
  <c r="AY549" i="3"/>
  <c r="AY87" i="3"/>
  <c r="AY109" i="3"/>
  <c r="AY142" i="3"/>
  <c r="AY537" i="3"/>
  <c r="AY144" i="3"/>
  <c r="AY136" i="3"/>
  <c r="AY232" i="3"/>
  <c r="AY448" i="3"/>
  <c r="AY49" i="3"/>
  <c r="AY381" i="3"/>
  <c r="AY326" i="3"/>
  <c r="AY178" i="3"/>
  <c r="AY294" i="3"/>
  <c r="AY550" i="3"/>
  <c r="AY269" i="3"/>
  <c r="AY389" i="3"/>
  <c r="AY302" i="3"/>
  <c r="AY122" i="3"/>
  <c r="AY457" i="3"/>
  <c r="BC6"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97" i="3"/>
  <c r="AY77" i="3"/>
  <c r="AY57" i="3"/>
  <c r="AY349" i="3"/>
  <c r="AY149" i="3"/>
  <c r="AY463" i="3"/>
  <c r="AY372" i="3"/>
  <c r="AY376" i="3"/>
  <c r="AY450" i="3"/>
  <c r="AY412" i="3"/>
  <c r="AY572" i="3"/>
  <c r="AY99" i="3"/>
  <c r="AY103" i="3"/>
  <c r="AY150" i="3"/>
  <c r="AY432" i="3"/>
  <c r="AY280" i="3"/>
  <c r="AY172" i="3"/>
  <c r="BS6" i="3"/>
  <c r="AY394" i="3"/>
  <c r="AY282" i="3"/>
  <c r="AY544" i="3"/>
  <c r="AY24" i="3"/>
  <c r="AY494"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502" i="3"/>
  <c r="AY110" i="3"/>
  <c r="AY487" i="3"/>
  <c r="AY571" i="3"/>
  <c r="AY509" i="3"/>
  <c r="AY554" i="3"/>
  <c r="AY539" i="3"/>
  <c r="AY532" i="3"/>
  <c r="AY564" i="3"/>
  <c r="AY212" i="3"/>
  <c r="BB6" i="3"/>
  <c r="AY251" i="3"/>
  <c r="AY296" i="3"/>
  <c r="AY353" i="3"/>
  <c r="AY338" i="3"/>
  <c r="AY284" i="3"/>
  <c r="AY79" i="3"/>
  <c r="AY419" i="3"/>
  <c r="AY243" i="3"/>
  <c r="AY426" i="3"/>
  <c r="AY373" i="3"/>
  <c r="AY301" i="3"/>
  <c r="AY466" i="3"/>
  <c r="AY255" i="3"/>
  <c r="AY496" i="3"/>
  <c r="AY521" i="3"/>
  <c r="AY474" i="3"/>
  <c r="AY354" i="3"/>
  <c r="AY482" i="3"/>
  <c r="BE6" i="3"/>
  <c r="AY441" i="3"/>
  <c r="AY121" i="3"/>
  <c r="AY491" i="3"/>
  <c r="AY508" i="3"/>
  <c r="AY530" i="3"/>
  <c r="AY198" i="3"/>
  <c r="AY73" i="3"/>
  <c r="AY262" i="3"/>
  <c r="AY397" i="3"/>
  <c r="AY379" i="3"/>
  <c r="AY135" i="3"/>
  <c r="AY62" i="3"/>
  <c r="AY155" i="3"/>
  <c r="AY307" i="3"/>
  <c r="AY201" i="3"/>
  <c r="AY501" i="3"/>
  <c r="AY481" i="3"/>
  <c r="AY204" i="3"/>
  <c r="AY216" i="3"/>
  <c r="AY28" i="3"/>
  <c r="AY311" i="3"/>
  <c r="AY257" i="3"/>
  <c r="AY254" i="3"/>
  <c r="AY359" i="3"/>
  <c r="AY437" i="3"/>
  <c r="AY493" i="3"/>
  <c r="AY273" i="3"/>
  <c r="AY15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AY377" i="3"/>
  <c r="AY205" i="3"/>
  <c r="AY252" i="3"/>
  <c r="BM6" i="3"/>
  <c r="AY260" i="3"/>
  <c r="AY423" i="3"/>
  <c r="AY228" i="3"/>
  <c r="AY18" i="3"/>
  <c r="AY566" i="3"/>
  <c r="AY488" i="3"/>
  <c r="AY568" i="3"/>
  <c r="AY451" i="3"/>
  <c r="AY54" i="3"/>
  <c r="AY460" i="3"/>
  <c r="AY312" i="3"/>
  <c r="AY444" i="3"/>
  <c r="AY134" i="3"/>
  <c r="AY261" i="3"/>
  <c r="BG6" i="3"/>
  <c r="AY196" i="3"/>
  <c r="AY165" i="3"/>
  <c r="AY570" i="3"/>
  <c r="AY511" i="3"/>
  <c r="AY439" i="3"/>
  <c r="AY536" i="3"/>
  <c r="AY180" i="3"/>
  <c r="BJ6" i="3"/>
  <c r="AY477" i="3"/>
  <c r="AY517" i="3"/>
  <c r="AY292" i="3"/>
  <c r="AY535" i="3"/>
  <c r="AY452" i="3"/>
  <c r="AY523"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10" i="3"/>
  <c r="AY207" i="3"/>
  <c r="AY268" i="3"/>
  <c r="AY320" i="3"/>
  <c r="AY314" i="3"/>
  <c r="AY430" i="3"/>
  <c r="AY229" i="3"/>
  <c r="AY369" i="3"/>
  <c r="AY85" i="3"/>
  <c r="AY224" i="3"/>
  <c r="AY111" i="3"/>
  <c r="AY335" i="3"/>
  <c r="AY200" i="3"/>
  <c r="AY445" i="3"/>
  <c r="AY271" i="3"/>
  <c r="AY187" i="3"/>
  <c r="AY411" i="3"/>
  <c r="AY386" i="3"/>
  <c r="AY293" i="3"/>
  <c r="AY92" i="3"/>
  <c r="AY21" i="3"/>
  <c r="AY525" i="3"/>
  <c r="AY124" i="3"/>
  <c r="AY35" i="3"/>
  <c r="AY352" i="3"/>
  <c r="AY253" i="3"/>
  <c r="AY278" i="3"/>
  <c r="AY16" i="3"/>
  <c r="AY194" i="3"/>
  <c r="AY295" i="3"/>
  <c r="AY464" i="3"/>
  <c r="AY168" i="3"/>
  <c r="AY315" i="3"/>
  <c r="AY258" i="3"/>
  <c r="AY39" i="3"/>
  <c r="AY324" i="3"/>
  <c r="AY146" i="3"/>
  <c r="AY422" i="3"/>
  <c r="AY361" i="3"/>
  <c r="AY291" i="3"/>
  <c r="AY106" i="3"/>
  <c r="AY74" i="3"/>
  <c r="AY104" i="3"/>
  <c r="AY129"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283" i="3"/>
  <c r="BA6" i="3"/>
  <c r="AY371" i="3"/>
  <c r="AY148" i="3"/>
  <c r="AY569" i="3"/>
  <c r="AY219" i="3"/>
  <c r="AY46" i="3"/>
  <c r="AY443" i="3"/>
  <c r="AY290" i="3"/>
  <c r="AY158" i="3"/>
  <c r="AY515" i="3"/>
  <c r="AY64" i="3"/>
  <c r="BD6" i="3"/>
  <c r="BN6" i="3"/>
  <c r="AY27" i="3"/>
  <c r="AY193" i="3"/>
  <c r="AY378" i="3"/>
  <c r="AY14" i="3"/>
  <c r="AY156" i="3"/>
  <c r="AY266" i="3"/>
  <c r="AY424" i="3"/>
  <c r="AY120" i="3"/>
  <c r="AY558" i="3"/>
  <c r="AY227" i="3"/>
  <c r="AY38" i="3"/>
  <c r="AY304" i="3"/>
  <c r="AY114" i="3"/>
  <c r="AY414" i="3"/>
  <c r="AY556" i="3"/>
  <c r="AY275" i="3"/>
  <c r="AY274" i="3"/>
  <c r="AY191" i="3"/>
  <c r="AY13" i="3"/>
  <c r="AY449" i="3"/>
  <c r="AY91" i="3"/>
  <c r="AY330" i="3"/>
  <c r="AY543" i="3"/>
  <c r="AY336" i="3"/>
  <c r="AY438" i="3"/>
  <c r="AY279" i="3"/>
  <c r="AY342" i="3"/>
  <c r="AY81" i="3"/>
  <c r="AY256" i="3"/>
  <c r="AY548" i="3"/>
  <c r="AY366" i="3"/>
  <c r="AY116" i="3"/>
  <c r="AY476" i="3"/>
  <c r="AY214" i="3"/>
  <c r="AY170" i="3"/>
  <c r="AY427" i="3"/>
  <c r="AY383" i="3"/>
  <c r="AY217" i="3"/>
  <c r="AY98" i="3"/>
  <c r="AY53" i="3"/>
  <c r="AY529" i="3"/>
  <c r="AY26" i="3"/>
  <c r="AY69" i="3"/>
  <c r="BL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BI6" i="3"/>
  <c r="E26" i="57"/>
  <c r="J26" i="71"/>
  <c r="J24" i="71"/>
  <c r="C24" i="71"/>
  <c r="C52" i="71"/>
  <c r="C47" i="71" s="1"/>
  <c r="C10" i="71"/>
  <c r="C5" i="71" s="1"/>
  <c r="C52" i="70"/>
  <c r="C47" i="70" s="1"/>
  <c r="C10" i="70"/>
  <c r="C5" i="70" s="1"/>
  <c r="F24" i="69"/>
  <c r="C24" i="69" s="1"/>
  <c r="F24" i="70"/>
  <c r="J24" i="70"/>
  <c r="J26" i="70"/>
  <c r="J29" i="70" s="1"/>
  <c r="J26" i="69"/>
  <c r="J29" i="69" s="1"/>
  <c r="J24" i="69"/>
  <c r="C52" i="69"/>
  <c r="C47" i="69" s="1"/>
  <c r="C10" i="69"/>
  <c r="C5" i="69" s="1"/>
  <c r="H12" i="40"/>
  <c r="U12" i="40" s="1"/>
  <c r="M21" i="6"/>
  <c r="I21" i="6" s="1"/>
  <c r="S8" i="1"/>
  <c r="M22" i="6"/>
  <c r="I22" i="6" s="1"/>
  <c r="S9" i="1"/>
  <c r="M20" i="6"/>
  <c r="I20" i="6" s="1"/>
  <c r="S7" i="1"/>
  <c r="W12" i="39"/>
  <c r="H12" i="39"/>
  <c r="U12" i="39" s="1"/>
  <c r="W12" i="40"/>
  <c r="AC12" i="40"/>
  <c r="F12" i="40"/>
  <c r="F12" i="39"/>
  <c r="S21" i="6"/>
  <c r="H21" i="6"/>
  <c r="S23" i="6"/>
  <c r="H23" i="6"/>
  <c r="S22" i="6"/>
  <c r="H22" i="6"/>
  <c r="S26" i="6"/>
  <c r="H26" i="6"/>
  <c r="K16" i="1"/>
  <c r="M14" i="1"/>
  <c r="S25" i="6"/>
  <c r="H25" i="6"/>
  <c r="S24" i="6"/>
  <c r="H24" i="6"/>
  <c r="M19" i="6"/>
  <c r="K27" i="6"/>
  <c r="S20" i="6"/>
  <c r="H20" i="6"/>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C17" i="15"/>
  <c r="C17" i="71"/>
  <c r="C17" i="70"/>
  <c r="F41" i="15"/>
  <c r="AB12" i="40" l="1"/>
  <c r="S16" i="1"/>
  <c r="D23" i="6"/>
  <c r="D24" i="6"/>
  <c r="R24" i="6" s="1"/>
  <c r="D5" i="6"/>
  <c r="D25" i="6"/>
  <c r="D21" i="6"/>
  <c r="D22" i="6"/>
  <c r="D20" i="6"/>
  <c r="R20" i="6" s="1"/>
  <c r="R7" i="1" s="1"/>
  <c r="D26" i="6"/>
  <c r="D8" i="6"/>
  <c r="D19" i="6"/>
  <c r="D9" i="6"/>
  <c r="D29" i="6"/>
  <c r="C22" i="4"/>
  <c r="K38" i="9"/>
  <c r="C14" i="66" s="1"/>
  <c r="B2" i="66" s="1"/>
  <c r="E63" i="40"/>
  <c r="D6" i="6"/>
  <c r="D12" i="6"/>
  <c r="D28" i="6"/>
  <c r="D30" i="6" s="1"/>
  <c r="D14" i="6"/>
  <c r="D15" i="6"/>
  <c r="F45" i="9"/>
  <c r="F46" i="9"/>
  <c r="E45" i="9"/>
  <c r="E46" i="9"/>
  <c r="D13" i="6"/>
  <c r="D10" i="6"/>
  <c r="D11" i="6"/>
  <c r="D13" i="11"/>
  <c r="C13" i="11" s="1"/>
  <c r="D22" i="12"/>
  <c r="C22" i="12" s="1"/>
  <c r="C20" i="12" s="1"/>
  <c r="D19" i="12"/>
  <c r="C19" i="12" s="1"/>
  <c r="C16" i="12"/>
  <c r="R25" i="6"/>
  <c r="R26" i="6"/>
  <c r="R22" i="6"/>
  <c r="R9" i="1" s="1"/>
  <c r="R23" i="6"/>
  <c r="R21" i="6"/>
  <c r="R8" i="1" s="1"/>
  <c r="C7" i="66"/>
  <c r="C8" i="66"/>
  <c r="F68" i="15"/>
  <c r="C59" i="71"/>
  <c r="C65" i="71"/>
  <c r="C38" i="71"/>
  <c r="C24" i="70"/>
  <c r="C38" i="70"/>
  <c r="C59" i="70"/>
  <c r="C65" i="70"/>
  <c r="C59" i="69"/>
  <c r="C65" i="69"/>
  <c r="C38" i="69"/>
  <c r="AB12" i="39"/>
  <c r="AA12" i="39"/>
  <c r="S12" i="39"/>
  <c r="AA12" i="40"/>
  <c r="S12" i="40"/>
  <c r="I19" i="6"/>
  <c r="M27" i="6"/>
  <c r="T11" i="1"/>
  <c r="T10" i="1"/>
  <c r="T9" i="1"/>
  <c r="T7" i="1"/>
  <c r="T8" i="1"/>
  <c r="T6" i="1"/>
  <c r="T13" i="1"/>
  <c r="T12" i="1"/>
  <c r="O14" i="1"/>
  <c r="O16" i="1" s="1"/>
  <c r="M16" i="1"/>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27" i="46"/>
  <c r="C65" i="15"/>
  <c r="C59" i="15"/>
  <c r="B5" i="11"/>
  <c r="B3" i="11"/>
  <c r="B4" i="11"/>
  <c r="J26" i="15"/>
  <c r="J29" i="15" s="1"/>
  <c r="J24" i="15"/>
  <c r="C38" i="15"/>
  <c r="Q58" i="44"/>
  <c r="Q67" i="44"/>
  <c r="Q49" i="44"/>
  <c r="Q55" i="44" s="1"/>
  <c r="F35" i="15"/>
  <c r="M21" i="15"/>
  <c r="F35" i="71"/>
  <c r="M21" i="71"/>
  <c r="C14" i="70"/>
  <c r="C14" i="71"/>
  <c r="C14" i="69"/>
  <c r="M21" i="70"/>
  <c r="F35" i="70"/>
  <c r="C16" i="44"/>
  <c r="C14" i="15"/>
  <c r="F7" i="67"/>
  <c r="D27" i="6" l="1"/>
  <c r="D31" i="6" s="1"/>
  <c r="D16" i="6"/>
  <c r="F62" i="70"/>
  <c r="C61" i="70" s="1"/>
  <c r="C34" i="70"/>
  <c r="J20" i="70"/>
  <c r="C15" i="69"/>
  <c r="C18" i="69"/>
  <c r="C15" i="71"/>
  <c r="C18" i="71"/>
  <c r="C15" i="70"/>
  <c r="C18" i="70"/>
  <c r="J20" i="71"/>
  <c r="C34" i="71"/>
  <c r="C31" i="71" s="1"/>
  <c r="F62" i="71"/>
  <c r="C61" i="71" s="1"/>
  <c r="J20" i="15"/>
  <c r="F62" i="15"/>
  <c r="C61" i="15" s="1"/>
  <c r="C34" i="15"/>
  <c r="C58" i="71"/>
  <c r="N5" i="54"/>
  <c r="B43" i="63" s="1"/>
  <c r="A20" i="64"/>
  <c r="A6" i="64"/>
  <c r="A20" i="51"/>
  <c r="B15" i="63" s="1"/>
  <c r="A6" i="51"/>
  <c r="B7" i="63" s="1"/>
  <c r="D7" i="66"/>
  <c r="D8" i="66"/>
  <c r="T16" i="1"/>
  <c r="C18" i="15"/>
  <c r="C15" i="15"/>
  <c r="C20" i="44"/>
  <c r="C17" i="44"/>
  <c r="I27" i="6"/>
  <c r="H19" i="6"/>
  <c r="S19" i="6"/>
  <c r="S27" i="6" s="1"/>
  <c r="L16" i="1"/>
  <c r="N16" i="1"/>
  <c r="C29" i="43" s="1"/>
  <c r="C13" i="43"/>
  <c r="P14" i="1"/>
  <c r="P16" i="1" s="1"/>
  <c r="C13" i="12"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19" i="69" l="1"/>
  <c r="C19" i="70"/>
  <c r="C19" i="71"/>
  <c r="C20" i="71" s="1"/>
  <c r="C26" i="71" s="1"/>
  <c r="I5" i="6"/>
  <c r="I6" i="6"/>
  <c r="C20" i="70"/>
  <c r="C23" i="70" s="1"/>
  <c r="C20" i="69"/>
  <c r="C26" i="69" s="1"/>
  <c r="C19" i="15"/>
  <c r="C20" i="15" s="1"/>
  <c r="C26" i="15" s="1"/>
  <c r="C21" i="44"/>
  <c r="C22" i="44" s="1"/>
  <c r="C28" i="44" s="1"/>
  <c r="C14" i="43"/>
  <c r="C17" i="43"/>
  <c r="R19" i="6"/>
  <c r="H27" i="6"/>
  <c r="C17" i="12"/>
  <c r="C14" i="12"/>
  <c r="I65" i="40"/>
  <c r="H67" i="40"/>
  <c r="H72" i="39"/>
  <c r="I70" i="39"/>
  <c r="N46" i="36"/>
  <c r="E3" i="67"/>
  <c r="B2" i="67"/>
  <c r="D4" i="46"/>
  <c r="B3" i="46"/>
  <c r="B4" i="46"/>
  <c r="C23" i="71" l="1"/>
  <c r="C29" i="71" s="1"/>
  <c r="C23" i="69"/>
  <c r="C29" i="69" s="1"/>
  <c r="C26" i="70"/>
  <c r="C29" i="70" s="1"/>
  <c r="R27" i="6"/>
  <c r="R6" i="1"/>
  <c r="C18" i="43"/>
  <c r="C19" i="43" s="1"/>
  <c r="C25" i="43" s="1"/>
  <c r="C24" i="43" s="1"/>
  <c r="C18" i="12"/>
  <c r="C23" i="12" s="1"/>
  <c r="O46" i="36"/>
  <c r="J7" i="36" s="1"/>
  <c r="F7" i="36"/>
  <c r="H7" i="36"/>
  <c r="J65" i="40"/>
  <c r="I67" i="40"/>
  <c r="J70" i="39"/>
  <c r="I72" i="39"/>
  <c r="B3" i="67"/>
  <c r="B4" i="67"/>
  <c r="M21" i="69"/>
  <c r="F35" i="69"/>
  <c r="F62" i="69" l="1"/>
  <c r="C61" i="69" s="1"/>
  <c r="C58" i="69" s="1"/>
  <c r="C34" i="69"/>
  <c r="C31" i="69" s="1"/>
  <c r="J20" i="69"/>
  <c r="C33" i="70"/>
  <c r="C31" i="70" s="1"/>
  <c r="C36" i="70"/>
  <c r="Q50" i="70"/>
  <c r="J19" i="70"/>
  <c r="J17" i="70" s="1"/>
  <c r="C13" i="70"/>
  <c r="C56" i="70"/>
  <c r="J14" i="70"/>
  <c r="R16" i="1"/>
  <c r="J19" i="69"/>
  <c r="C56" i="69"/>
  <c r="C63" i="69" s="1"/>
  <c r="C13" i="69"/>
  <c r="C36" i="69"/>
  <c r="J14" i="69"/>
  <c r="Q50" i="69"/>
  <c r="J14" i="71"/>
  <c r="J19" i="71"/>
  <c r="J17" i="71" s="1"/>
  <c r="Q50" i="71"/>
  <c r="C36" i="71"/>
  <c r="C13" i="71"/>
  <c r="C56" i="71"/>
  <c r="C63" i="71" s="1"/>
  <c r="K70" i="39"/>
  <c r="J72" i="39"/>
  <c r="U7" i="36"/>
  <c r="AB7" i="36"/>
  <c r="T36" i="36" s="1"/>
  <c r="G36" i="36" s="1"/>
  <c r="AC7" i="36"/>
  <c r="V36" i="36" s="1"/>
  <c r="I36" i="36" s="1"/>
  <c r="W7" i="36"/>
  <c r="J67" i="40"/>
  <c r="K65" i="40"/>
  <c r="S7" i="36"/>
  <c r="AA7" i="36"/>
  <c r="R36" i="36" s="1"/>
  <c r="C37" i="71" l="1"/>
  <c r="C30" i="71" s="1"/>
  <c r="C39" i="71" s="1"/>
  <c r="Q71" i="71"/>
  <c r="C55" i="71"/>
  <c r="C64" i="71" s="1"/>
  <c r="C57" i="71" s="1"/>
  <c r="C66" i="71" s="1"/>
  <c r="J35" i="71"/>
  <c r="J13" i="71"/>
  <c r="J23" i="71" s="1"/>
  <c r="J22" i="71"/>
  <c r="J13" i="69"/>
  <c r="J23" i="69" s="1"/>
  <c r="J22" i="69"/>
  <c r="C37" i="69"/>
  <c r="C30" i="69" s="1"/>
  <c r="C39" i="69" s="1"/>
  <c r="Q71" i="69"/>
  <c r="J35" i="69"/>
  <c r="C55" i="69"/>
  <c r="C64" i="69" s="1"/>
  <c r="C57" i="69" s="1"/>
  <c r="C66" i="69" s="1"/>
  <c r="C67" i="69" s="1"/>
  <c r="J17" i="69"/>
  <c r="J22" i="70"/>
  <c r="J13" i="70"/>
  <c r="J23" i="70" s="1"/>
  <c r="Q71" i="70"/>
  <c r="C37" i="70"/>
  <c r="C30" i="70" s="1"/>
  <c r="C39" i="70" s="1"/>
  <c r="C55" i="70"/>
  <c r="C64" i="70" s="1"/>
  <c r="J35" i="70"/>
  <c r="C63" i="70"/>
  <c r="C60" i="70"/>
  <c r="C58" i="70" s="1"/>
  <c r="R37" i="36"/>
  <c r="E36" i="36"/>
  <c r="K67" i="40"/>
  <c r="L65" i="40"/>
  <c r="G41" i="36"/>
  <c r="H41" i="36" s="1"/>
  <c r="G40" i="36"/>
  <c r="H40" i="36" s="1"/>
  <c r="I40" i="36"/>
  <c r="J40" i="36" s="1"/>
  <c r="I41" i="36"/>
  <c r="J41" i="36" s="1"/>
  <c r="L70" i="39"/>
  <c r="K72" i="39"/>
  <c r="L51" i="69"/>
  <c r="L51" i="70"/>
  <c r="L51" i="71"/>
  <c r="J16" i="70" l="1"/>
  <c r="J25" i="70" s="1"/>
  <c r="J16" i="71"/>
  <c r="J25" i="71" s="1"/>
  <c r="Q68" i="71"/>
  <c r="Q68" i="70"/>
  <c r="Q68" i="69"/>
  <c r="Q70" i="71"/>
  <c r="Q69" i="71" s="1"/>
  <c r="C40" i="70"/>
  <c r="Q70" i="70"/>
  <c r="Q69" i="70" s="1"/>
  <c r="Q70" i="69"/>
  <c r="Q69" i="69" s="1"/>
  <c r="C40" i="69"/>
  <c r="C46" i="69" s="1"/>
  <c r="J39" i="70"/>
  <c r="J40" i="70" s="1"/>
  <c r="J39" i="69"/>
  <c r="J40" i="69" s="1"/>
  <c r="C57" i="70"/>
  <c r="C66" i="70" s="1"/>
  <c r="C67" i="70" s="1"/>
  <c r="C70" i="70" s="1"/>
  <c r="C70" i="69"/>
  <c r="J16" i="69"/>
  <c r="J25" i="69" s="1"/>
  <c r="J39" i="71"/>
  <c r="J40" i="71" s="1"/>
  <c r="L72" i="39"/>
  <c r="M70" i="39"/>
  <c r="M65" i="40"/>
  <c r="L67" i="40"/>
  <c r="E40" i="36"/>
  <c r="F40" i="36" s="1"/>
  <c r="E41" i="36"/>
  <c r="F41" i="36" s="1"/>
  <c r="C37" i="36"/>
  <c r="B3" i="36" s="1"/>
  <c r="B2" i="36" s="1"/>
  <c r="C36" i="36"/>
  <c r="C46" i="70" l="1"/>
  <c r="C43" i="70"/>
  <c r="Q66" i="70"/>
  <c r="Q76" i="70" s="1"/>
  <c r="Q48" i="70"/>
  <c r="Q54" i="70" s="1"/>
  <c r="B2" i="70"/>
  <c r="Q57" i="70"/>
  <c r="Q63" i="70" s="1"/>
  <c r="J42" i="70"/>
  <c r="J43" i="70" s="1"/>
  <c r="Q66" i="69"/>
  <c r="Q76" i="69" s="1"/>
  <c r="Q48" i="69"/>
  <c r="Q54" i="69" s="1"/>
  <c r="C43" i="69"/>
  <c r="Q57" i="69"/>
  <c r="Q63" i="69" s="1"/>
  <c r="B2" i="69"/>
  <c r="J42" i="69"/>
  <c r="J43" i="69" s="1"/>
  <c r="N65" i="40"/>
  <c r="N67" i="40" s="1"/>
  <c r="M67" i="40"/>
  <c r="N70" i="39"/>
  <c r="N72" i="39" s="1"/>
  <c r="M72" i="39"/>
  <c r="B3" i="70" l="1"/>
  <c r="D8" i="12" s="1"/>
  <c r="D10" i="12"/>
  <c r="B3" i="69"/>
  <c r="C8" i="12" s="1"/>
  <c r="C10" i="12"/>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0" i="9"/>
  <c r="D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c r="J42" i="15" l="1"/>
  <c r="J43" i="15" s="1"/>
  <c r="Q66" i="15"/>
  <c r="Q76" i="15" s="1"/>
  <c r="B2" i="15"/>
  <c r="B3" i="15" s="1"/>
  <c r="F8" i="12" s="1"/>
  <c r="C43" i="15"/>
  <c r="Q48" i="15"/>
  <c r="Q54" i="15" s="1"/>
  <c r="Q58" i="15"/>
  <c r="Q63" i="15" s="1"/>
  <c r="L52" i="44"/>
  <c r="L58" i="44" s="1"/>
  <c r="L61" i="44" s="1"/>
  <c r="B3" i="44"/>
  <c r="B5" i="44"/>
  <c r="B4" i="44"/>
  <c r="F10" i="12" l="1"/>
  <c r="Q69" i="44"/>
  <c r="Q59" i="44"/>
  <c r="Q64" i="44" s="1"/>
  <c r="Q68" i="44"/>
  <c r="Q77" i="44" s="1"/>
  <c r="AE8" i="1"/>
  <c r="F41" i="71"/>
  <c r="J29" i="71" l="1"/>
  <c r="C40" i="71"/>
  <c r="F68" i="71"/>
  <c r="C67" i="71" s="1"/>
  <c r="C46" i="71" l="1"/>
  <c r="C70" i="71"/>
  <c r="C43" i="71"/>
  <c r="Q66" i="71"/>
  <c r="Q76" i="71" s="1"/>
  <c r="B2" i="71"/>
  <c r="Q57" i="71"/>
  <c r="Q63" i="71" s="1"/>
  <c r="Q48" i="71"/>
  <c r="Q54" i="71" s="1"/>
  <c r="J42" i="71"/>
  <c r="J43" i="71" s="1"/>
  <c r="B3" i="71" l="1"/>
  <c r="E8" i="12" s="1"/>
  <c r="E10" i="12"/>
  <c r="C6" i="12" s="1"/>
  <c r="C24" i="12" l="1"/>
  <c r="C29" i="12"/>
  <c r="C35" i="12" l="1"/>
  <c r="C33" i="12" s="1"/>
  <c r="C28" i="12"/>
  <c r="C26" i="12" s="1"/>
  <c r="C31" i="12" s="1"/>
  <c r="C30" i="12" s="1"/>
  <c r="C36" i="12" l="1"/>
  <c r="B2" i="12" s="1"/>
  <c r="C19" i="9"/>
  <c r="L43" i="9" l="1"/>
  <c r="D22" i="9"/>
  <c r="G19" i="9"/>
  <c r="D27" i="9" s="1"/>
  <c r="B3" i="12"/>
  <c r="B4" i="12"/>
  <c r="B5" i="12"/>
  <c r="C20" i="9"/>
  <c r="C21" i="9"/>
  <c r="G20" i="9" l="1"/>
  <c r="G21" i="9"/>
  <c r="C32" i="9"/>
  <c r="G22" i="9"/>
  <c r="N43" i="9"/>
  <c r="O43" i="9" l="1"/>
  <c r="C35" i="9"/>
  <c r="F42" i="9" s="1"/>
  <c r="O38" i="9"/>
  <c r="C42" i="9"/>
  <c r="C34" i="9"/>
  <c r="C33" i="9"/>
  <c r="N38" i="9" l="1"/>
  <c r="K28" i="9" s="1"/>
  <c r="D42" i="9"/>
  <c r="Q5" i="54" s="1"/>
  <c r="B47" i="63" s="1"/>
  <c r="C44" i="9"/>
  <c r="R5" i="54"/>
  <c r="B48" i="63" s="1"/>
  <c r="D63" i="9"/>
  <c r="D14" i="66"/>
  <c r="N68" i="9"/>
  <c r="E42" i="9"/>
  <c r="P5" i="54" s="1"/>
  <c r="B46" i="63" s="1"/>
  <c r="M38" i="9"/>
  <c r="K27" i="9" s="1"/>
  <c r="K25" i="9"/>
  <c r="K26" i="9"/>
  <c r="B5" i="66" l="1"/>
  <c r="F14" i="66"/>
  <c r="E14" i="66"/>
  <c r="D73" i="9"/>
  <c r="N73" i="9" s="1"/>
  <c r="C96" i="9"/>
  <c r="C91" i="9" s="1"/>
  <c r="C103" i="9"/>
  <c r="C90" i="9"/>
  <c r="C111" i="9"/>
  <c r="C104" i="9" s="1"/>
  <c r="C82" i="9"/>
  <c r="C81" i="9" s="1"/>
  <c r="C85" i="9" s="1"/>
  <c r="C86" i="9" s="1"/>
  <c r="D72" i="9" s="1"/>
  <c r="D70" i="9"/>
  <c r="D71" i="9"/>
  <c r="D66" i="9" s="1"/>
  <c r="N72" i="9" s="1"/>
  <c r="O39" i="9"/>
  <c r="F44" i="9"/>
  <c r="G14" i="66"/>
  <c r="B6" i="66" s="1"/>
  <c r="D44" i="9"/>
  <c r="E44" i="9"/>
  <c r="N69" i="9"/>
  <c r="C97" i="9" l="1"/>
  <c r="C6" i="66"/>
  <c r="D6" i="66"/>
  <c r="R6" i="54"/>
  <c r="B50" i="63" s="1"/>
  <c r="K29" i="9"/>
  <c r="K30" i="9" s="1"/>
  <c r="C113" i="9"/>
  <c r="M86" i="9"/>
  <c r="N86" i="9" s="1"/>
  <c r="M88" i="9"/>
  <c r="N88" i="9" s="1"/>
  <c r="M85" i="9"/>
  <c r="N85" i="9" s="1"/>
  <c r="M84" i="9"/>
  <c r="N84" i="9" s="1"/>
  <c r="M87" i="9"/>
  <c r="N87" i="9" s="1"/>
  <c r="M83" i="9"/>
  <c r="N83" i="9" s="1"/>
  <c r="C98" i="9"/>
  <c r="E98" i="9" s="1"/>
  <c r="E99" i="9" s="1"/>
  <c r="C5" i="66"/>
  <c r="D5" i="66"/>
  <c r="C99" i="9" l="1"/>
  <c r="N89" i="9"/>
  <c r="O89" i="9" s="1"/>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<sst xmlns="http://schemas.openxmlformats.org/spreadsheetml/2006/main" count="8634" uniqueCount="3277">
  <si>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</si>
  <si>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</si>
  <si>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</si>
  <si>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</si>
  <si>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</si>
  <si>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</si>
  <si>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</si>
  <si>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</si>
  <si>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</si>
  <si>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</si>
  <si>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</si>
  <si>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</si>
  <si>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</si>
  <si>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</si>
  <si>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</si>
  <si>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</si>
  <si>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</si>
  <si>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</si>
  <si>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</si>
  <si>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</si>
  <si>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</si>
  <si>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</si>
  <si>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</si>
  <si>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</si>
  <si>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</si>
  <si>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</si>
  <si>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</si>
  <si>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</si>
  <si>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</si>
  <si>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</si>
  <si>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</si>
  <si>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</si>
  <si>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</si>
  <si>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</si>
  <si>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</si>
  <si>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</si>
  <si>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</si>
  <si>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</si>
  <si>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</si>
  <si>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</si>
  <si>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</si>
  <si>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</si>
  <si>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</si>
  <si>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</si>
  <si>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</si>
  <si>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</si>
  <si>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</si>
  <si>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</si>
  <si>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</si>
  <si>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</si>
  <si>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</si>
  <si>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</si>
  <si>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</si>
  <si>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</si>
  <si>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</si>
  <si>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</si>
  <si>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</si>
  <si>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</si>
  <si>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</si>
  <si>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</si>
  <si>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</si>
  <si>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</si>
  <si>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</si>
  <si>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</si>
  <si>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</si>
  <si>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</si>
  <si>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</si>
  <si>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</si>
  <si>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</si>
  <si>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</si>
  <si>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</si>
  <si>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</si>
  <si>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</si>
  <si>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</si>
  <si>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</si>
  <si>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</si>
  <si>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</si>
  <si>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</si>
  <si>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</si>
  <si>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</si>
  <si>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</si>
  <si>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</si>
  <si>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</si>
  <si>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</si>
  <si>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</si>
  <si>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</si>
  <si>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</si>
  <si>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</si>
  <si>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</si>
  <si>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</si>
  <si>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</si>
  <si>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</si>
  <si>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</si>
  <si>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</si>
  <si>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</si>
  <si>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</si>
  <si>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</si>
  <si>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</si>
  <si>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</si>
  <si>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</si>
  <si>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</si>
  <si>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</si>
  <si>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</si>
  <si>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</si>
  <si>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</si>
  <si>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</si>
  <si>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</si>
  <si>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</si>
  <si>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</si>
  <si>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</si>
  <si>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</si>
  <si>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</si>
  <si>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</si>
  <si>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</si>
  <si>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</si>
  <si>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</si>
  <si>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</si>
  <si>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</si>
  <si>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</si>
  <si>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</si>
  <si>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</si>
  <si>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</si>
  <si>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</si>
  <si>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</si>
  <si>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</si>
  <si>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</si>
  <si>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</si>
  <si>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</si>
  <si>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</si>
  <si>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</si>
  <si>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</si>
  <si>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</si>
  <si>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</si>
  <si>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</si>
  <si>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</si>
  <si>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</si>
  <si>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</si>
  <si>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</si>
  <si>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</si>
  <si>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</si>
  <si>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</si>
  <si>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</si>
  <si>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</si>
  <si>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</si>
  <si>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</si>
  <si>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</si>
  <si>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</si>
  <si>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</si>
  <si>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</si>
  <si>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</si>
  <si>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</si>
  <si>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</si>
  <si>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</si>
  <si>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</si>
  <si>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</si>
  <si>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</si>
  <si>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</si>
  <si>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</si>
  <si>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</si>
  <si>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</si>
  <si>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</si>
  <si>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</si>
  <si>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</si>
  <si>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</si>
  <si>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</si>
  <si>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</si>
  <si>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</si>
  <si>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</si>
  <si>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</si>
  <si>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</si>
  <si>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</si>
  <si>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</si>
  <si>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</si>
  <si>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</si>
  <si>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</si>
  <si>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</si>
  <si>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</si>
  <si>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</si>
  <si>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</si>
  <si>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</si>
  <si>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</si>
  <si>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</si>
  <si>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</si>
  <si>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</si>
  <si>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</si>
  <si>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</si>
  <si>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</si>
  <si>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</si>
  <si>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</si>
  <si>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</si>
  <si>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</si>
  <si>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</si>
  <si>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</si>
  <si>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</si>
  <si>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</si>
  <si>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</si>
  <si>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</si>
  <si>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</si>
  <si>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</si>
  <si>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</si>
  <si>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</si>
  <si>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</si>
  <si>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</si>
  <si>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</si>
  <si>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</si>
  <si>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</si>
  <si>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</si>
  <si>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</si>
  <si>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</si>
  <si>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</si>
  <si>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</si>
  <si>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</si>
  <si>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</si>
  <si>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</si>
  <si>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</si>
  <si>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</si>
  <si>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</si>
  <si>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</si>
  <si>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</si>
  <si>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</si>
  <si>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</si>
  <si>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</si>
  <si>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</si>
  <si>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</si>
  <si>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</si>
  <si>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</si>
  <si>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</si>
  <si>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</si>
  <si>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</si>
  <si>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</si>
  <si>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</si>
  <si>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</si>
  <si>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</si>
  <si>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</si>
  <si>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</si>
  <si>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</si>
  <si>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</si>
  <si>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</si>
  <si>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</si>
  <si>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</si>
  <si>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</si>
  <si>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</si>
  <si>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</si>
  <si>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</si>
  <si>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</si>
  <si>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</si>
  <si>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</si>
  <si>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</si>
  <si>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</si>
  <si>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</si>
  <si>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</si>
  <si>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</si>
  <si>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</si>
  <si>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</si>
  <si>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</si>
  <si>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</si>
  <si>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</si>
  <si>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</si>
  <si>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</si>
  <si>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</si>
  <si>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</si>
  <si>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</si>
  <si>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</si>
  <si>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</si>
  <si>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</si>
  <si>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</si>
  <si>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</si>
  <si>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</si>
  <si>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</si>
  <si>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</si>
  <si>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</si>
  <si>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</si>
  <si>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</si>
  <si>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</si>
  <si>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</si>
  <si>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</si>
  <si>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</si>
  <si>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</si>
  <si>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</si>
  <si>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</si>
  <si>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</si>
  <si>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</si>
  <si>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</si>
  <si>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</si>
  <si>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</si>
  <si>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</si>
  <si>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</si>
  <si>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</si>
  <si>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</si>
  <si>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</si>
  <si>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</si>
  <si>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</si>
  <si>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</si>
  <si>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</si>
  <si>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</si>
  <si>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</si>
  <si>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</si>
  <si>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</si>
  <si>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</si>
  <si>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</si>
  <si>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</si>
  <si>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</si>
  <si>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</si>
  <si>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</si>
  <si>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</si>
  <si>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</si>
  <si>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</si>
  <si>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</si>
  <si>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</si>
  <si>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</si>
  <si>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</si>
  <si>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</si>
  <si>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</si>
  <si>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</si>
  <si>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</si>
  <si>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</si>
  <si>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</si>
  <si>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</si>
  <si>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</si>
  <si>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</si>
  <si>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</si>
  <si>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</si>
  <si>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</si>
  <si>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</si>
  <si>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</si>
  <si>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</si>
  <si>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</si>
  <si>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</si>
  <si>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</si>
  <si>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</si>
  <si>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</si>
  <si>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</si>
  <si>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</si>
  <si>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</si>
  <si>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</si>
  <si>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</si>
  <si>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</si>
  <si>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</si>
  <si>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</si>
  <si>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</si>
  <si>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</si>
  <si>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</si>
  <si>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</si>
  <si>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</si>
  <si>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</si>
  <si>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</si>
  <si>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</si>
  <si>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</si>
  <si>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</si>
  <si>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</si>
  <si>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</si>
  <si>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</si>
  <si>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</si>
  <si>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</si>
  <si>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</si>
  <si>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</si>
  <si>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</si>
  <si>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</si>
  <si>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</si>
  <si>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</si>
  <si>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</si>
  <si>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</si>
  <si>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</si>
  <si>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</si>
  <si>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</si>
  <si>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</si>
  <si>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</si>
  <si>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</si>
  <si>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</si>
  <si>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</si>
  <si>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</si>
  <si>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</si>
  <si>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</si>
  <si>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</si>
  <si>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</si>
  <si>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</si>
  <si>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</si>
  <si>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</si>
  <si>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</si>
  <si>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</si>
  <si>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</si>
  <si>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</si>
  <si>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</si>
  <si>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</si>
  <si>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</si>
  <si>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</si>
  <si>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</si>
  <si>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</si>
  <si>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</si>
  <si>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</si>
  <si>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</si>
  <si>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</si>
  <si>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</si>
  <si>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</si>
  <si>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</si>
  <si>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</si>
  <si>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</si>
  <si>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</si>
  <si>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</si>
  <si>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</si>
  <si>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</si>
  <si>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</si>
  <si>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</si>
  <si>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</si>
  <si>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</si>
  <si>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</si>
  <si>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</si>
  <si>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</si>
  <si>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</si>
  <si>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</si>
  <si>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</si>
  <si>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</si>
  <si>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</si>
  <si>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</si>
  <si>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</si>
  <si>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</si>
  <si>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</si>
  <si>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</si>
  <si>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</si>
  <si>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</si>
  <si>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</si>
  <si>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</si>
  <si>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</si>
  <si>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</si>
  <si>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</si>
  <si>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</si>
  <si>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</si>
  <si>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</si>
  <si>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</si>
  <si>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</si>
  <si>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</si>
  <si>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</si>
  <si>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</si>
  <si>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</si>
  <si>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</si>
  <si>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</si>
  <si>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</si>
  <si>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</si>
  <si>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</si>
  <si>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</si>
  <si>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</si>
  <si>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</si>
  <si>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</si>
  <si>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</si>
  <si>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</si>
  <si>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</si>
  <si>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</si>
  <si>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</si>
  <si>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</si>
  <si>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</si>
  <si>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</si>
  <si>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</si>
  <si>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</si>
  <si>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</si>
  <si>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</si>
  <si>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</si>
  <si>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</si>
  <si>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</si>
  <si>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</si>
  <si>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</si>
  <si>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</si>
  <si>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</si>
  <si>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</si>
  <si>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</si>
  <si>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</si>
  <si>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</si>
  <si>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</si>
  <si>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</si>
  <si>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</si>
  <si>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</si>
  <si>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</si>
  <si>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</si>
  <si>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</si>
  <si>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</si>
  <si>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</si>
  <si>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</si>
  <si>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</si>
  <si>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</si>
  <si>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</si>
  <si>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</si>
  <si>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</si>
  <si>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</si>
  <si>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</si>
  <si>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</si>
  <si>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</si>
  <si>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</si>
  <si>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</si>
  <si>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</si>
  <si>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</si>
  <si>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</si>
  <si>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</si>
  <si>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</si>
  <si>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</si>
  <si>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</si>
  <si>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</si>
  <si>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</si>
  <si>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</si>
  <si>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</si>
  <si>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</si>
  <si>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</si>
  <si>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</si>
  <si>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</si>
  <si>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</si>
  <si>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</si>
  <si>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</si>
  <si>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</si>
  <si>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</si>
  <si>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</si>
  <si>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</si>
  <si>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</si>
  <si>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</si>
  <si>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</si>
  <si>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</si>
  <si>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</si>
  <si>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</si>
  <si>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</si>
  <si>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</si>
  <si>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</si>
  <si>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</si>
  <si>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</si>
  <si>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</si>
  <si>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</si>
  <si>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</si>
  <si>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</si>
  <si>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</si>
  <si>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</si>
  <si>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</si>
  <si>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</si>
  <si>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</si>
  <si>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</si>
  <si>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</si>
  <si>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</si>
  <si>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</si>
  <si>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</si>
  <si>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</si>
  <si>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</si>
  <si>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</si>
  <si>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</si>
  <si>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</si>
  <si>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</si>
  <si>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</si>
  <si>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</si>
  <si>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</si>
  <si>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</si>
  <si>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</si>
  <si>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</si>
  <si>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</si>
  <si>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</si>
  <si>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</si>
  <si>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</si>
  <si>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</si>
  <si>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</si>
  <si>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</si>
  <si>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</si>
  <si>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</si>
  <si>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</si>
  <si>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</si>
  <si>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</si>
  <si>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</si>
  <si>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</si>
  <si>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</si>
  <si>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</si>
  <si>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</si>
  <si>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</si>
  <si>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</si>
  <si>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</si>
  <si>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</si>
  <si>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</si>
  <si>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</si>
  <si>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</si>
  <si>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</si>
  <si>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</si>
  <si>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</si>
  <si>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</si>
  <si>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</si>
  <si>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</si>
  <si>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</si>
  <si>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</si>
  <si>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</si>
  <si>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</si>
  <si>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</si>
  <si>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</si>
  <si>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</si>
  <si>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</si>
  <si>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</si>
  <si>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</si>
  <si>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</si>
  <si>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</si>
  <si>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</si>
  <si>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</si>
  <si>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</si>
  <si>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</si>
  <si>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</si>
  <si>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</si>
  <si>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</si>
  <si>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</si>
  <si>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</si>
  <si>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</si>
  <si>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</si>
  <si>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</si>
  <si>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</si>
  <si>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</si>
  <si>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</si>
  <si>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</si>
  <si>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</si>
  <si>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</si>
  <si>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</si>
  <si>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</si>
  <si>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</si>
  <si>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</si>
  <si>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</si>
  <si>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</si>
  <si>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</si>
  <si>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</si>
  <si>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</si>
  <si>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</si>
  <si>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</si>
  <si>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</si>
  <si>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</si>
  <si>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</si>
  <si>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</si>
  <si>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</si>
  <si>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</si>
  <si>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</si>
  <si>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</si>
  <si>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</si>
  <si>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</si>
  <si>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</si>
  <si>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</si>
  <si>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</si>
  <si>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</si>
  <si>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</si>
  <si>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</si>
  <si>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</si>
  <si>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</si>
  <si>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</si>
  <si>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</si>
  <si>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</si>
  <si>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</si>
  <si>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</si>
  <si>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</si>
  <si>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</si>
  <si>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</si>
  <si>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</si>
  <si>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</si>
  <si>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</si>
  <si>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</si>
  <si>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</si>
  <si>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</si>
  <si>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</si>
  <si>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</si>
  <si>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</si>
  <si>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</si>
  <si>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</si>
  <si>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</si>
  <si>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</si>
  <si>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</si>
  <si>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</si>
  <si>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</si>
  <si>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</si>
  <si>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</si>
  <si>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</si>
  <si>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</si>
  <si>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</si>
  <si>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</si>
  <si>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</si>
  <si>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</si>
  <si>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</si>
  <si>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</si>
  <si>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</si>
  <si>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</si>
  <si>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</si>
  <si>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</si>
  <si>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</si>
  <si>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</si>
  <si>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</si>
  <si>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</si>
  <si>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</si>
  <si>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</si>
  <si>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</si>
  <si>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</si>
  <si>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</si>
  <si>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</si>
  <si>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</si>
  <si>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</si>
  <si>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</si>
  <si>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</si>
  <si>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</si>
  <si>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</si>
  <si>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</si>
  <si>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</si>
  <si>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</si>
  <si>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</si>
  <si>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</si>
  <si>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</si>
  <si>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</si>
  <si>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</si>
  <si>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</si>
  <si>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</si>
  <si>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</si>
  <si>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</si>
  <si>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</si>
  <si>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</si>
  <si>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</si>
  <si>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</si>
  <si>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</si>
  <si>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</si>
  <si>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</si>
  <si>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</si>
  <si>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</si>
  <si>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</si>
  <si>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</si>
  <si>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</si>
  <si>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</si>
  <si>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</si>
  <si>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</si>
  <si>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</si>
  <si>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</si>
  <si>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</si>
  <si>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</si>
  <si>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</si>
  <si>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</si>
  <si>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</si>
  <si>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</si>
  <si>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</si>
  <si>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</si>
  <si>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</si>
  <si>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</si>
  <si>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</si>
  <si>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</si>
  <si>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</si>
  <si>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</si>
  <si>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</si>
  <si>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</si>
  <si>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</si>
  <si>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</si>
  <si>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</si>
  <si>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</si>
  <si>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</si>
  <si>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</si>
  <si>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</si>
  <si>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</si>
  <si>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</si>
  <si>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</si>
  <si>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</si>
  <si>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</si>
  <si>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</si>
  <si>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</si>
  <si>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</si>
  <si>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</si>
  <si>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</si>
  <si>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</si>
  <si>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</si>
  <si>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</si>
  <si>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</si>
  <si>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</si>
  <si>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</si>
  <si>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</si>
  <si>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</si>
  <si>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</si>
  <si>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</si>
  <si>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</si>
  <si>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</si>
  <si>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</si>
  <si>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</si>
  <si>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</si>
  <si>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</si>
  <si>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</si>
  <si>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</si>
  <si>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</si>
  <si>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</si>
  <si>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</si>
  <si>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</si>
  <si>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</si>
  <si>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</si>
  <si>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</si>
  <si>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</si>
  <si>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</si>
  <si>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</si>
  <si>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</si>
  <si>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</si>
  <si>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</si>
  <si>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</si>
  <si>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</si>
  <si>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</si>
  <si>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</si>
  <si>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</si>
  <si>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</si>
  <si>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</si>
  <si>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</si>
  <si>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</si>
  <si>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</si>
  <si>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</si>
  <si>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</si>
  <si>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</si>
  <si>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</si>
  <si>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</si>
  <si>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</si>
  <si>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</si>
  <si>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</si>
  <si>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</si>
  <si>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</si>
  <si>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</si>
  <si>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</si>
  <si>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</si>
  <si>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</si>
  <si>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</si>
  <si>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</si>
  <si>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</si>
  <si>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</si>
  <si>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</si>
  <si>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</si>
  <si>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</si>
  <si>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</si>
  <si>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</si>
  <si>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</si>
  <si>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</si>
  <si>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</si>
  <si>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</si>
  <si>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</si>
  <si>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</si>
  <si>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</si>
  <si>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</si>
  <si>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</si>
  <si>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</si>
  <si>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</si>
  <si>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</si>
  <si>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</si>
  <si>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</si>
  <si>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</si>
  <si>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</si>
  <si>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</si>
  <si>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</si>
  <si>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</si>
  <si>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</si>
  <si>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</si>
  <si>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</si>
  <si>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</si>
  <si>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</si>
  <si>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</si>
  <si>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</si>
  <si>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</si>
  <si>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</si>
  <si>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</si>
  <si>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</si>
  <si>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</si>
  <si>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</si>
  <si>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</si>
  <si>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</si>
  <si>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</si>
  <si>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</si>
  <si>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</si>
  <si>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</si>
  <si>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</si>
  <si>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</si>
  <si>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</si>
  <si>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</si>
  <si>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</si>
  <si>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</si>
  <si>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</si>
  <si>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</si>
  <si>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</si>
  <si>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</si>
  <si>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</si>
  <si>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</si>
  <si>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</si>
  <si>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</si>
  <si>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</si>
  <si>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</si>
  <si>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</si>
  <si>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</si>
  <si>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</si>
  <si>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</si>
  <si>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</si>
  <si>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</si>
  <si>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</si>
  <si>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</si>
  <si>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</si>
  <si>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</si>
  <si>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</si>
  <si>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</si>
  <si>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</si>
  <si>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</si>
  <si>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</si>
  <si>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</si>
  <si>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</si>
  <si>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</si>
  <si>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</si>
  <si>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</si>
  <si>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</si>
  <si>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</si>
  <si>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</si>
  <si>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</si>
  <si>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</si>
  <si>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</si>
  <si>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</si>
  <si>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</si>
  <si>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</si>
  <si>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</si>
  <si>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</si>
  <si>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</si>
  <si>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</si>
  <si>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</si>
  <si>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</si>
  <si>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</si>
  <si>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</si>
  <si>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</si>
  <si>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</si>
  <si>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</si>
  <si>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</si>
  <si>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</si>
  <si>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</si>
  <si>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</si>
  <si>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</si>
  <si>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</si>
  <si>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</si>
  <si>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</si>
  <si>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</si>
  <si>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</si>
  <si>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</si>
  <si>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</si>
  <si>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</si>
  <si>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</si>
  <si>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</si>
  <si>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</si>
  <si>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</si>
  <si>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</si>
  <si>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</si>
  <si>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</si>
  <si>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</si>
  <si>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</si>
  <si>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</si>
  <si>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</si>
  <si>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</si>
  <si>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</si>
  <si>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</si>
  <si>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</si>
  <si>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</si>
  <si>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</si>
  <si>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</si>
  <si>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</si>
  <si>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</si>
  <si>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</si>
  <si>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</si>
  <si>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</si>
  <si>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</si>
  <si>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</si>
  <si>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</si>
  <si>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</si>
  <si>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</si>
  <si>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</si>
  <si>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</si>
  <si>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</si>
  <si>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</si>
  <si>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</si>
  <si>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</si>
  <si>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</si>
  <si>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</si>
  <si>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</si>
  <si>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</si>
  <si>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</si>
  <si>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</si>
  <si>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</si>
  <si>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</si>
  <si>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</si>
  <si>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</si>
  <si>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</si>
  <si>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</si>
  <si>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</si>
  <si>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</si>
  <si>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</si>
  <si>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</si>
  <si>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</si>
  <si>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</si>
  <si>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</si>
  <si>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</si>
  <si>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</si>
  <si>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</si>
  <si>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</si>
  <si>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</si>
  <si>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</si>
  <si>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</si>
  <si>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</si>
  <si>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</si>
  <si>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</si>
  <si>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</si>
  <si>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</si>
  <si>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</si>
  <si>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</si>
  <si>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</si>
  <si>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</si>
  <si>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</si>
  <si>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</si>
  <si>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</si>
  <si>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</si>
  <si>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</si>
  <si>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</si>
  <si>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</si>
  <si>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</si>
  <si>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</si>
  <si>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</si>
  <si>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</si>
  <si>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</si>
  <si>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</si>
  <si>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</si>
  <si>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</si>
  <si>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</si>
  <si>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</si>
  <si>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</si>
  <si>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</si>
  <si>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</si>
  <si>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</si>
  <si>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</si>
  <si>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</si>
  <si>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</si>
  <si>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</si>
  <si>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</si>
  <si>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</si>
  <si>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</si>
  <si>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</si>
  <si>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</si>
  <si>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</si>
  <si>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</si>
  <si>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</si>
  <si>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</si>
  <si>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</si>
  <si>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</si>
  <si>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</si>
  <si>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</si>
  <si>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</si>
  <si>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</si>
  <si>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</si>
  <si>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</si>
  <si>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</si>
  <si>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</si>
  <si>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</si>
  <si>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</si>
  <si>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</si>
  <si>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</si>
  <si>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</si>
  <si>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</si>
  <si>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</si>
  <si>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</si>
  <si>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</si>
  <si>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</si>
  <si>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</si>
  <si>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</si>
  <si>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</si>
  <si>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</si>
  <si>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</si>
  <si>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</si>
  <si>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</si>
  <si>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</si>
  <si>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</si>
  <si>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</si>
  <si>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</si>
  <si>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</si>
  <si>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</si>
  <si>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</si>
  <si>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</si>
  <si>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</si>
  <si>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</si>
  <si>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</si>
  <si>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</si>
  <si>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</si>
  <si>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</si>
  <si>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</si>
  <si>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</si>
  <si>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</si>
  <si>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</si>
  <si>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</si>
  <si>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</si>
  <si>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</si>
  <si>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</si>
  <si>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</si>
  <si>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</si>
  <si>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</si>
  <si>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</si>
  <si>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</si>
  <si>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</si>
  <si>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</si>
  <si>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</si>
  <si>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</si>
  <si>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</si>
  <si>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</si>
  <si>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</si>
  <si>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</si>
  <si>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</si>
  <si>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</si>
  <si>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</si>
  <si>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</si>
  <si>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</si>
  <si>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</si>
  <si>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</si>
  <si>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</si>
  <si>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</si>
  <si>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</si>
  <si>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</si>
  <si>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</si>
  <si>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</si>
  <si>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</si>
  <si>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</si>
  <si>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</si>
  <si>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</si>
  <si>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</si>
  <si>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</si>
  <si>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</si>
  <si>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</si>
  <si>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</si>
  <si>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</si>
  <si>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</si>
  <si>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</si>
  <si>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</si>
  <si>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</si>
  <si>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</si>
  <si>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</si>
  <si>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</si>
  <si>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</si>
  <si>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</si>
  <si>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</si>
  <si>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</si>
  <si>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</si>
  <si>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</si>
  <si>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</si>
  <si>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</si>
  <si>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</si>
  <si>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</si>
  <si>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</si>
  <si>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</si>
  <si>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</si>
  <si>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</si>
  <si>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</si>
  <si>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</si>
  <si>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</si>
  <si>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</si>
  <si>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</si>
  <si>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</si>
  <si>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</si>
  <si>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</si>
  <si>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</si>
  <si>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</si>
  <si>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</si>
  <si>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</si>
  <si>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</si>
  <si>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</si>
  <si>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</si>
  <si>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</si>
  <si>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</si>
  <si>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</si>
  <si>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</si>
  <si>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</si>
  <si>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</si>
  <si>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</si>
  <si>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</si>
  <si>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</si>
  <si>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</si>
  <si>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</si>
  <si>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</si>
  <si>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</si>
  <si>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</si>
  <si>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</si>
  <si>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</si>
  <si>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</si>
  <si>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</si>
  <si>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</si>
  <si>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</si>
  <si>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</si>
  <si>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</si>
  <si>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</si>
  <si>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</si>
  <si>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</si>
  <si>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</si>
  <si>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</si>
  <si>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</si>
  <si>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</si>
  <si>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</si>
  <si>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</si>
  <si>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</si>
  <si>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</si>
  <si>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</si>
  <si>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</si>
  <si>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</si>
  <si>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</si>
  <si>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</si>
  <si>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</si>
  <si>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</si>
  <si>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</si>
  <si>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</si>
  <si>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</si>
  <si>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</si>
  <si>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</si>
  <si>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</si>
  <si>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</si>
  <si>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</si>
  <si>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</si>
  <si>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</si>
  <si>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</si>
  <si>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</si>
  <si>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</si>
  <si>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</si>
  <si>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</si>
  <si>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</si>
  <si>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</si>
  <si>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</si>
  <si>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</si>
  <si>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</si>
  <si>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</si>
  <si>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</si>
  <si>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</si>
  <si>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</si>
  <si>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</si>
  <si>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</si>
  <si>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</si>
  <si>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</si>
  <si>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</si>
  <si>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</si>
  <si>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</si>
  <si>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</si>
  <si>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</si>
  <si>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</si>
  <si>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</si>
  <si>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</si>
  <si>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</si>
  <si>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</si>
  <si>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</si>
  <si>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</si>
  <si>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</si>
  <si>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</si>
  <si>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</si>
  <si>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</si>
  <si>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</si>
  <si>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</si>
  <si>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</si>
  <si>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</si>
  <si>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</si>
  <si>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</si>
  <si>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</si>
  <si>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</si>
  <si>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</si>
  <si>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</si>
  <si>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</si>
  <si>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</si>
  <si>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</si>
  <si>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</si>
  <si>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</si>
  <si>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</si>
  <si>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</si>
  <si>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</si>
  <si>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</si>
  <si>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</si>
  <si>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</si>
  <si>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</si>
  <si>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</si>
  <si>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</si>
  <si>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</si>
  <si>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</si>
  <si>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</si>
  <si>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</si>
  <si>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</si>
  <si>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</si>
  <si>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</si>
  <si>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</si>
  <si>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</si>
  <si>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</si>
  <si>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</si>
  <si>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</si>
  <si>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</si>
  <si>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</si>
  <si>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</si>
  <si>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</si>
  <si>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</si>
  <si>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</si>
  <si>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</si>
  <si>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</si>
  <si>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</si>
  <si>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</si>
  <si>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</si>
  <si>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</si>
  <si>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</si>
  <si>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</si>
  <si>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</si>
  <si>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</si>
  <si>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</si>
  <si>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</si>
  <si>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</si>
  <si>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</si>
  <si>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</si>
  <si>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</si>
  <si>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</si>
  <si>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</si>
  <si>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</si>
  <si>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</si>
  <si>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</si>
  <si>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</si>
  <si>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</si>
  <si>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</si>
  <si>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</si>
  <si>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</si>
  <si>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</si>
  <si>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</si>
  <si>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</si>
  <si>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</si>
  <si>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</si>
  <si>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</si>
  <si>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</si>
  <si>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</si>
  <si>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</si>
  <si>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</si>
  <si>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</si>
  <si>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</si>
  <si>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</si>
  <si>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</si>
  <si>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</si>
  <si>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</si>
  <si>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</si>
  <si>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</si>
  <si>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</si>
  <si>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</si>
  <si>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</si>
  <si>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</si>
  <si>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</si>
  <si>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</si>
  <si>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</si>
  <si>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</si>
  <si>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</si>
  <si>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</si>
  <si>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</si>
  <si>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</si>
  <si>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</si>
  <si>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</si>
  <si>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</si>
  <si>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</si>
  <si>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</si>
  <si>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</si>
  <si>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</si>
  <si>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</si>
  <si>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</si>
  <si>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</si>
  <si>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</si>
  <si>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</si>
  <si>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</si>
  <si>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</si>
  <si>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</si>
  <si>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</si>
  <si>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</si>
  <si>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</si>
  <si>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</si>
  <si>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</si>
  <si>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</si>
  <si>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</si>
  <si>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</si>
  <si>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</si>
  <si>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</si>
  <si>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</si>
  <si>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</si>
  <si>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</si>
  <si>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</si>
  <si>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</si>
  <si>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</si>
  <si>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</si>
  <si>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</si>
  <si>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</si>
  <si>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</si>
  <si>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</si>
  <si>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</si>
  <si>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</si>
  <si>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</si>
  <si>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</si>
  <si>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</si>
  <si>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</si>
  <si>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</si>
  <si>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</si>
  <si>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</si>
  <si>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</si>
  <si>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</si>
  <si>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</si>
  <si>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</si>
  <si>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</si>
  <si>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</si>
  <si>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</si>
  <si>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</si>
  <si>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</si>
  <si>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</si>
  <si>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</si>
  <si>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</si>
  <si>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</si>
  <si>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</si>
  <si>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</si>
  <si>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</si>
  <si>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</si>
  <si>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</si>
  <si>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</si>
  <si>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</si>
  <si>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</si>
  <si>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</si>
  <si>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</si>
  <si>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</si>
  <si>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</si>
  <si>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</si>
  <si>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</si>
  <si>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</si>
  <si>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</si>
  <si>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</si>
  <si>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</si>
  <si>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</si>
  <si>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</si>
  <si>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</si>
  <si>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</si>
  <si>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</si>
  <si>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</si>
  <si>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</si>
  <si>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</si>
  <si>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</si>
  <si>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</si>
  <si>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</si>
  <si>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</si>
  <si>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</si>
  <si>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</si>
  <si>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</si>
  <si>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</si>
  <si>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</si>
  <si>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</si>
  <si>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</si>
  <si>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</si>
  <si>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</si>
  <si>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</si>
  <si>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</si>
  <si>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</si>
  <si>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</si>
  <si>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</si>
  <si>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</si>
  <si>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</si>
  <si>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</si>
  <si>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</si>
  <si>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</si>
  <si>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</si>
  <si>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</si>
  <si>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</si>
  <si>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</si>
  <si>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</si>
  <si>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</si>
  <si>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</si>
  <si>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</si>
  <si>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</si>
  <si>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</si>
  <si>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</si>
  <si>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</si>
  <si>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</si>
  <si>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</si>
  <si>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</si>
  <si>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</si>
  <si>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</si>
  <si>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</si>
  <si>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</si>
  <si>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</si>
  <si>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</si>
  <si>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</si>
  <si>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</si>
  <si>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</si>
  <si>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</si>
  <si>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</si>
  <si>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</si>
  <si>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</si>
  <si>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</si>
  <si>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</si>
  <si>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</si>
  <si>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</si>
  <si>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</si>
  <si>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</si>
  <si>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</si>
  <si>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</si>
  <si>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</si>
  <si>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</si>
  <si>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</si>
  <si>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</si>
  <si>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</si>
  <si>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</si>
  <si>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</si>
  <si>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</si>
  <si>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</si>
  <si>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</si>
  <si>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</si>
  <si>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</si>
  <si>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</si>
  <si>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</si>
  <si>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</si>
  <si>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</si>
  <si>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</si>
  <si>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</si>
  <si>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</si>
  <si>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</si>
  <si>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</si>
  <si>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</si>
  <si>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</si>
  <si>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</si>
  <si>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</si>
  <si>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</si>
  <si>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</si>
  <si>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</si>
  <si>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</si>
  <si>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</si>
  <si>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</si>
  <si>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</si>
  <si>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</si>
  <si>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</si>
  <si>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</si>
  <si>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</si>
  <si>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</si>
  <si>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</si>
  <si>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</si>
  <si>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</si>
  <si>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</si>
  <si>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</si>
  <si>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</si>
  <si>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</si>
  <si>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</si>
  <si>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</si>
  <si>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</si>
  <si>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</si>
  <si>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</si>
  <si>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</si>
  <si>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</si>
  <si>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</si>
  <si>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</si>
  <si>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</si>
  <si>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</si>
  <si>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</si>
  <si>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</si>
  <si>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</si>
  <si>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</si>
  <si>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</si>
  <si>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</si>
  <si>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</si>
  <si>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</si>
  <si>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</si>
  <si>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</si>
  <si>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</si>
  <si>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</si>
  <si>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</si>
  <si>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</si>
  <si>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</si>
  <si>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</si>
  <si>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</si>
  <si>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</si>
  <si>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</si>
  <si>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</si>
  <si>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</si>
  <si>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</si>
  <si>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</si>
  <si>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</si>
  <si>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</si>
  <si>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</si>
  <si>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</si>
  <si>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</si>
  <si>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</si>
  <si>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</si>
  <si>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</si>
  <si>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</si>
  <si>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</si>
  <si>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</si>
  <si>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</si>
  <si>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</si>
  <si>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</si>
  <si>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</si>
  <si>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</si>
  <si>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</si>
  <si>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</si>
  <si>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</si>
  <si>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</si>
  <si>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</si>
  <si>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</si>
  <si>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</si>
  <si>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</si>
  <si>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</si>
  <si>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</si>
  <si>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</si>
  <si>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</si>
  <si>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</si>
  <si>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</si>
  <si>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</si>
  <si>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</si>
  <si>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</si>
  <si>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</si>
  <si>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</si>
  <si>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</si>
  <si>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</si>
  <si>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</si>
  <si>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</si>
  <si>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</si>
  <si>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</si>
  <si>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</si>
  <si>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</si>
  <si>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</si>
  <si>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</si>
  <si>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</si>
  <si>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</si>
  <si>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</si>
  <si>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</si>
  <si>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</si>
  <si>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</si>
  <si>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</si>
  <si>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</si>
  <si>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</si>
  <si>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</si>
  <si>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</si>
  <si>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</si>
  <si>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</si>
  <si>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</si>
  <si>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</si>
  <si>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</si>
  <si>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</si>
  <si>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</si>
  <si>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</si>
  <si>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</si>
  <si>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</si>
  <si>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</si>
  <si>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</si>
  <si>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</si>
  <si>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</si>
  <si>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</si>
  <si>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</si>
  <si>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</si>
  <si>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</si>
  <si>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</si>
  <si>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</si>
  <si>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</si>
  <si>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</si>
  <si>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</si>
  <si>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</si>
  <si>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</si>
  <si>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</si>
  <si>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</si>
  <si>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</si>
  <si>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</si>
  <si>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</si>
  <si>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</si>
  <si>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</si>
  <si>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</si>
  <si>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</si>
  <si>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</si>
  <si>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</si>
  <si>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</si>
  <si>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</si>
  <si>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</si>
  <si>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</si>
  <si>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</si>
  <si>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</si>
  <si>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</si>
  <si>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</si>
  <si>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</si>
  <si>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</si>
  <si>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</si>
  <si>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</si>
  <si>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</si>
  <si>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</si>
  <si>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</si>
  <si>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</si>
  <si>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</si>
  <si>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</si>
  <si>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</si>
  <si>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</si>
  <si>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</si>
  <si>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</si>
  <si>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</si>
  <si>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</si>
  <si>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</si>
  <si>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</si>
  <si>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</si>
  <si>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</si>
  <si>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</si>
  <si>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</si>
  <si>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</si>
  <si>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</si>
  <si>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</si>
  <si>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</si>
  <si>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</si>
  <si>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</si>
  <si>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</si>
  <si>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</si>
  <si>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</si>
  <si>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</si>
  <si>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</si>
  <si>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</si>
  <si>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</si>
  <si>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</si>
  <si>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</si>
  <si>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</si>
  <si>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</si>
  <si>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</si>
  <si>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</si>
  <si>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</si>
  <si>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</si>
  <si>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</si>
  <si>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</si>
  <si>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</si>
  <si>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</si>
  <si>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</si>
  <si>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</si>
  <si>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</si>
  <si>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</si>
  <si>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</si>
  <si>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</si>
  <si>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</si>
  <si>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</si>
  <si>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</si>
  <si>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</si>
  <si>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</si>
  <si>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</si>
  <si>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</si>
  <si>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</si>
  <si>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</si>
  <si>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</si>
  <si>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</si>
  <si>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</si>
  <si>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</si>
  <si>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</si>
  <si>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</si>
  <si>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</si>
  <si>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</si>
  <si>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</si>
  <si>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</si>
  <si>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</si>
  <si>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</si>
  <si>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</si>
  <si>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</si>
  <si>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</si>
  <si>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</si>
  <si>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</si>
  <si>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</si>
  <si>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</si>
  <si>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</si>
  <si>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</si>
  <si>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</si>
  <si>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</si>
  <si>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</si>
  <si>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</si>
  <si>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</si>
  <si>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</si>
  <si>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</si>
  <si>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</si>
  <si>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</si>
  <si>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</si>
  <si>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</si>
  <si>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</si>
  <si>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</si>
  <si>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</si>
  <si>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</si>
  <si>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</si>
  <si>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</si>
  <si>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</si>
  <si>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</si>
  <si>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</si>
  <si>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</si>
  <si>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</si>
  <si>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</si>
  <si>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</si>
  <si>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</si>
  <si>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</si>
  <si>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</si>
  <si>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</si>
  <si>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</si>
  <si>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</si>
  <si>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</si>
  <si>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</si>
  <si>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</si>
  <si>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</si>
  <si>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</si>
  <si>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</si>
  <si>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</si>
  <si>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</si>
  <si>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</si>
  <si>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</si>
  <si>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</si>
  <si>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</si>
  <si>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</si>
  <si>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</si>
  <si>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</si>
  <si>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</si>
  <si>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</si>
  <si>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</si>
  <si>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</si>
  <si>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</si>
  <si>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</si>
  <si>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</si>
  <si>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</si>
  <si>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</si>
  <si>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</si>
  <si>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</si>
  <si>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</si>
  <si>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</si>
  <si>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</si>
  <si>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</si>
  <si>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</si>
  <si>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</si>
  <si>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</si>
  <si>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</si>
  <si>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</si>
  <si>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</si>
  <si>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</si>
  <si>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</si>
  <si>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</si>
  <si>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</si>
  <si>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</si>
  <si>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</si>
  <si>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</si>
  <si>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</si>
  <si>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</si>
  <si>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</si>
  <si>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</si>
  <si>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</si>
  <si>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</si>
  <si>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</si>
  <si>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</si>
  <si>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</si>
  <si>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</si>
  <si>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</si>
  <si>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</si>
  <si>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</si>
  <si>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</si>
  <si>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</si>
  <si>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</si>
  <si>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</si>
  <si>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</si>
  <si>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</si>
  <si>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</si>
  <si>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</si>
  <si>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</si>
  <si>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</si>
  <si>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</si>
  <si>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</si>
  <si>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</si>
  <si>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</si>
  <si>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</si>
  <si>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</si>
  <si>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</si>
  <si>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</si>
  <si>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</si>
  <si>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</si>
  <si>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</si>
  <si>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</si>
  <si>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</si>
  <si>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</si>
  <si>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</si>
  <si>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</si>
  <si>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</si>
  <si>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</si>
  <si>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</si>
  <si>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</si>
  <si>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</si>
  <si>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</si>
  <si>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</si>
  <si>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</si>
  <si>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</si>
  <si>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</si>
  <si>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</si>
  <si>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</si>
  <si>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</si>
  <si>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</si>
  <si>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</si>
  <si>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</si>
  <si>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</si>
  <si>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</si>
  <si>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</si>
  <si>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</si>
  <si>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</si>
  <si>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</si>
  <si>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</si>
  <si>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</si>
  <si>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</si>
  <si>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</si>
  <si>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</si>
  <si>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</si>
  <si>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</si>
  <si>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</si>
  <si>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</si>
  <si>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</si>
  <si>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</si>
  <si>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</si>
  <si>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</si>
  <si>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</si>
  <si>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</si>
  <si>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</si>
  <si>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</si>
  <si>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</si>
  <si>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</si>
  <si>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</si>
  <si>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</si>
  <si>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</si>
  <si>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</si>
  <si>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</si>
  <si>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</si>
  <si>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</si>
  <si>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</si>
  <si>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</si>
  <si>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</si>
  <si>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</si>
  <si>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</si>
  <si>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</si>
  <si>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</si>
  <si>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</si>
  <si>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</si>
  <si>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</si>
  <si>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</si>
  <si>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</si>
  <si>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</si>
  <si>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</si>
  <si>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</si>
  <si>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</si>
  <si>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</si>
  <si>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</si>
  <si>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</si>
  <si>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</si>
  <si>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</si>
  <si>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</si>
  <si>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</si>
  <si>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</si>
  <si>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</si>
  <si>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</si>
  <si>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</si>
  <si>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</si>
  <si>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</si>
  <si>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</si>
  <si>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</si>
  <si>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</si>
  <si>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</si>
  <si>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</si>
  <si>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</si>
  <si>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</si>
  <si>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</si>
  <si>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</si>
  <si>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</si>
  <si>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</si>
  <si>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</si>
  <si>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</si>
  <si>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</si>
  <si>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</si>
  <si>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</si>
  <si>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</si>
  <si>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</si>
  <si>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</si>
  <si>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</si>
  <si>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</si>
  <si>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</si>
  <si>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</si>
  <si>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</si>
  <si>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</si>
  <si>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</si>
  <si>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</si>
  <si>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</si>
  <si>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</si>
  <si>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</si>
  <si>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</si>
  <si>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</si>
  <si>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</si>
  <si>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</si>
  <si>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</si>
  <si>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</si>
  <si>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</si>
  <si>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</si>
  <si>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</si>
  <si>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</si>
  <si>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</si>
  <si>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</si>
  <si>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</si>
  <si>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</si>
  <si>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</si>
  <si>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</si>
  <si>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</si>
  <si>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</si>
  <si>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</si>
  <si>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</si>
  <si>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</si>
  <si>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</si>
  <si>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</si>
  <si>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</si>
  <si>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</si>
  <si>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</si>
  <si>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</si>
  <si>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</si>
  <si>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</si>
  <si>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</si>
  <si>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</si>
  <si>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</si>
  <si>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</si>
  <si>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</si>
  <si>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</si>
  <si>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</si>
  <si>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</si>
  <si>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</si>
  <si>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</si>
  <si>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</si>
  <si>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</si>
  <si>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</si>
  <si>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</si>
  <si>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</si>
  <si>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</si>
  <si>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</si>
  <si>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</si>
  <si>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</si>
  <si>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</si>
  <si>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</si>
  <si>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</si>
  <si>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</si>
  <si>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</si>
  <si>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</si>
  <si>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</si>
  <si>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</si>
  <si>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</si>
  <si>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</si>
  <si>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</si>
  <si>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</si>
  <si>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</si>
  <si>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</si>
  <si>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</si>
  <si>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</si>
  <si>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</si>
  <si>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</si>
  <si>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</si>
  <si>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</si>
  <si>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</si>
  <si>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</si>
  <si>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</si>
  <si>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</si>
  <si>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</si>
  <si>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</si>
  <si>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</si>
  <si>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</si>
  <si>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</si>
  <si>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</si>
  <si>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</si>
  <si>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</si>
  <si>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</si>
  <si>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</si>
  <si>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</si>
  <si>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</si>
  <si>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</si>
  <si>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</si>
  <si>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</si>
  <si>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</si>
  <si>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</si>
  <si>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</si>
  <si>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</si>
  <si>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</si>
  <si>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</si>
  <si>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</si>
  <si>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</si>
  <si>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</si>
  <si>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</si>
  <si>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</si>
  <si>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</si>
  <si>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</si>
  <si>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</si>
  <si>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</si>
  <si>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</si>
  <si>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</si>
  <si>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</si>
  <si>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</si>
  <si>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</si>
  <si>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</si>
  <si>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</si>
  <si>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</si>
  <si>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</si>
  <si>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</si>
  <si>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</si>
  <si>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</si>
  <si>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</si>
  <si>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</si>
  <si>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</si>
  <si>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</si>
  <si>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</si>
  <si>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</si>
  <si>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</si>
  <si>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</si>
  <si>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</si>
  <si>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</si>
  <si>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</si>
  <si>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</si>
  <si>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</si>
  <si>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</si>
  <si>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</si>
  <si>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</si>
  <si>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</si>
  <si>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</si>
  <si>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</si>
  <si>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</si>
  <si>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</si>
  <si>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</si>
  <si>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</si>
  <si>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</si>
  <si>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</si>
  <si>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</si>
  <si>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</si>
  <si>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</si>
  <si>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</si>
  <si>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</si>
  <si>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</si>
  <si>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</si>
  <si>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</si>
  <si>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</si>
  <si>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</si>
  <si>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</si>
  <si>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</si>
  <si>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</si>
  <si>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</si>
  <si>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</si>
  <si>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</si>
  <si>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</si>
  <si>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</si>
  <si>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</si>
  <si>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</si>
  <si>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</si>
  <si>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</si>
  <si>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</si>
  <si>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</si>
  <si>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</si>
  <si>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</si>
  <si>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</si>
  <si>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</si>
  <si>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</si>
  <si>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</si>
  <si>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</si>
  <si>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</si>
  <si>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</si>
  <si>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</si>
  <si>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</si>
  <si>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</si>
  <si>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</si>
  <si>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</si>
  <si>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</si>
  <si>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</si>
  <si>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</si>
  <si>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</si>
  <si>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</si>
  <si>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</si>
  <si>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</si>
  <si>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</si>
  <si>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</si>
  <si>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</si>
  <si>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</si>
  <si>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</si>
  <si>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</si>
  <si>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</si>
  <si>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</si>
  <si>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</si>
  <si>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</si>
  <si>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</si>
  <si>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</si>
  <si>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</si>
  <si>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</si>
  <si>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</si>
  <si>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</si>
  <si>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</si>
  <si>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</si>
  <si>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</si>
  <si>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</si>
  <si>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</si>
  <si>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</si>
  <si>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</si>
  <si>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</si>
  <si>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</si>
  <si>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</si>
  <si>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</si>
  <si>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</si>
  <si>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</si>
  <si>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</si>
  <si>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</si>
  <si>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</si>
  <si>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</si>
  <si>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</si>
  <si>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</si>
  <si>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</si>
  <si>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</si>
  <si>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</si>
  <si>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</si>
  <si>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</si>
  <si>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</si>
  <si>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</si>
  <si>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</si>
  <si>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</si>
  <si>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</si>
  <si>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</si>
  <si>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</si>
  <si>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</si>
  <si>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</si>
  <si>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</si>
  <si>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</si>
  <si>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</si>
  <si>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</si>
  <si>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</si>
  <si>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</si>
  <si>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</si>
  <si>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</si>
  <si>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</si>
  <si>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</si>
  <si>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</si>
  <si>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</si>
  <si>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</si>
  <si>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</si>
  <si>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</si>
  <si>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</si>
  <si>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</si>
  <si>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</si>
  <si>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</si>
  <si>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</si>
  <si>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</si>
  <si>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</si>
  <si>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</si>
  <si>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</si>
  <si>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</si>
  <si>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</si>
  <si>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</si>
  <si>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</si>
  <si>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</si>
  <si>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</si>
  <si>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</si>
  <si>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</si>
  <si>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</si>
  <si>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</si>
  <si>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</si>
  <si>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</si>
  <si>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</si>
  <si>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</si>
  <si>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</si>
  <si>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</si>
  <si>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</si>
  <si>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</si>
  <si>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</si>
  <si>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</si>
  <si>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</si>
  <si>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</si>
  <si>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</si>
  <si>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</si>
  <si>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</si>
  <si>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</si>
  <si>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</si>
  <si>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</si>
  <si>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</si>
  <si>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</si>
  <si>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</si>
  <si>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</si>
  <si>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</si>
  <si>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</si>
  <si>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</si>
  <si>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</si>
  <si>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</si>
  <si>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</si>
  <si>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</si>
  <si>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</si>
  <si>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</si>
  <si>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</si>
  <si>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</si>
  <si>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</si>
  <si>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</si>
  <si>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</si>
  <si>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</si>
  <si>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</si>
  <si>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</si>
  <si>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</si>
  <si>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</si>
  <si>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</si>
  <si>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</si>
  <si>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</si>
  <si>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</si>
  <si>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</si>
  <si>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</si>
  <si>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</si>
  <si>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</si>
  <si>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</si>
  <si>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</si>
  <si>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</si>
  <si>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</si>
  <si>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</si>
  <si>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</si>
  <si>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</si>
  <si>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</si>
  <si>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</si>
  <si>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</si>
  <si>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</si>
  <si>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</si>
  <si>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</si>
  <si>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</si>
  <si>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</si>
  <si>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</si>
  <si>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</si>
  <si>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</si>
  <si>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</si>
  <si>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</si>
  <si>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</si>
  <si>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</si>
  <si>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</si>
  <si>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</si>
  <si>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</si>
  <si>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</si>
  <si>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</si>
  <si>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</si>
  <si>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</si>
  <si>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</si>
  <si>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</si>
  <si>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</si>
  <si>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</si>
  <si>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</si>
  <si>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</si>
  <si>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</si>
  <si>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</si>
  <si>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</si>
  <si>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</si>
  <si>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</si>
  <si>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</si>
  <si>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</si>
  <si>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</si>
  <si>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</si>
  <si>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</si>
  <si>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</si>
  <si>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</si>
  <si>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</si>
  <si>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</si>
  <si>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</si>
  <si>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</si>
  <si>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</si>
  <si>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</si>
  <si>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</si>
  <si>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</si>
  <si>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</si>
  <si>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</si>
  <si>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</si>
  <si>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</si>
  <si>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</si>
  <si>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</si>
  <si>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</si>
  <si>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</si>
  <si>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</si>
  <si>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</si>
  <si>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</si>
  <si>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</si>
  <si>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</si>
  <si>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</si>
  <si>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</si>
  <si>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</si>
  <si>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</si>
  <si>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</si>
  <si>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</si>
  <si>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</si>
  <si>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</si>
  <si>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</si>
  <si>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</si>
  <si>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</si>
  <si>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</si>
  <si>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</si>
  <si>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</si>
  <si>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</si>
  <si>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</si>
  <si>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</si>
  <si>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</si>
  <si>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</si>
  <si>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</si>
  <si>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</si>
  <si>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</si>
  <si>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</si>
  <si>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</si>
  <si>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</si>
  <si>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</si>
  <si>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</si>
  <si>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</si>
  <si>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</si>
  <si>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</si>
  <si>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</si>
  <si>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</si>
  <si>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</si>
  <si>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</si>
  <si>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</si>
  <si>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</si>
  <si>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</si>
  <si>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</si>
  <si>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</si>
  <si>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</si>
  <si>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</si>
  <si>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</si>
  <si>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</si>
  <si>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</si>
  <si>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</si>
  <si>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</si>
  <si>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</si>
  <si>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</si>
  <si>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</si>
  <si>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</si>
  <si>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</si>
  <si>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</si>
  <si>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</si>
  <si>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</si>
  <si>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</si>
  <si>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</si>
  <si>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</si>
  <si>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</si>
  <si>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</si>
  <si>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</si>
  <si>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</si>
  <si>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</si>
  <si>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</si>
  <si>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</si>
  <si>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</si>
  <si>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</si>
  <si>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</si>
  <si>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</si>
  <si>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</si>
  <si>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</si>
  <si>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</si>
  <si>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</si>
  <si>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</si>
  <si>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</si>
  <si>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</si>
  <si>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</si>
  <si>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</si>
  <si>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</si>
  <si>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</si>
  <si>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</si>
  <si>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</si>
  <si>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</si>
  <si>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</si>
  <si>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</si>
  <si>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</si>
  <si>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</si>
  <si>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</si>
  <si>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</si>
  <si>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</si>
  <si>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</si>
  <si>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</si>
  <si>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</si>
  <si>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</si>
  <si>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</si>
  <si>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</si>
  <si>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</si>
  <si>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</si>
  <si>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</si>
  <si>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</si>
  <si>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</si>
  <si>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</si>
  <si>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</si>
  <si>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</si>
  <si>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</si>
  <si>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</si>
  <si>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</si>
  <si>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</si>
  <si>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</si>
  <si>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</si>
  <si>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</si>
  <si>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</si>
  <si>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</si>
  <si>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</si>
  <si>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</si>
  <si>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</si>
  <si>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</si>
  <si>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</si>
  <si>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</si>
  <si>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</si>
  <si>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</si>
  <si>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</si>
  <si>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</si>
  <si>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</si>
  <si>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</si>
  <si>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</si>
  <si>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</si>
  <si>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</si>
  <si>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</si>
  <si>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</si>
  <si>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</si>
  <si>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</si>
  <si>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</si>
  <si>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</si>
  <si>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</si>
  <si>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</si>
  <si>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</si>
  <si>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</si>
  <si>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</si>
  <si>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</si>
  <si>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</si>
  <si>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</si>
  <si>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</si>
  <si>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</si>
  <si>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</si>
  <si>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</si>
  <si>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</si>
  <si>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</si>
  <si>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</si>
  <si>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</si>
  <si>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</si>
  <si>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</si>
  <si>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</si>
  <si>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</si>
  <si>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</si>
  <si>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</si>
  <si>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</si>
  <si>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</si>
  <si>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</si>
  <si>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</si>
  <si>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</si>
  <si>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</si>
  <si>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</si>
  <si>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</si>
  <si>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</si>
  <si>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</si>
  <si>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</si>
  <si>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</si>
  <si>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</si>
  <si>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</si>
  <si>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</si>
  <si>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</si>
  <si>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</si>
  <si>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</si>
  <si>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</si>
  <si>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</si>
  <si>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</si>
  <si>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</si>
  <si>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</si>
  <si>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</si>
  <si>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</si>
  <si>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</si>
  <si>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</si>
  <si>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</si>
  <si>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</si>
  <si>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</si>
  <si>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</si>
  <si>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</si>
  <si>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</si>
  <si>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</si>
  <si>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</si>
  <si>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</si>
  <si>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</si>
  <si>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</si>
  <si>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</si>
  <si>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</si>
  <si>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</si>
  <si>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</si>
  <si>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</si>
  <si>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</si>
  <si>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</si>
  <si>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</si>
  <si>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</si>
  <si>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</si>
  <si>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</si>
  <si>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</si>
  <si>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</si>
  <si>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</si>
  <si>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</si>
  <si>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</si>
  <si>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</si>
  <si>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</si>
  <si>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</si>
  <si>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</si>
  <si>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</si>
  <si>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</si>
  <si>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</si>
  <si>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</si>
  <si>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</si>
  <si>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</si>
  <si>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</si>
  <si>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</si>
  <si>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</si>
  <si>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</si>
  <si>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</si>
  <si>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</si>
  <si>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</si>
  <si>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</si>
  <si>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</si>
  <si>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</si>
  <si>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</si>
  <si>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</si>
  <si>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</si>
  <si>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</si>
  <si>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</si>
  <si>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</si>
  <si>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</si>
  <si>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</si>
  <si>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</si>
  <si>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</si>
  <si>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</si>
  <si>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</si>
  <si>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</si>
  <si>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</si>
  <si>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</si>
  <si>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</si>
  <si>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</si>
  <si>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</si>
  <si>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</si>
  <si>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</si>
  <si>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</si>
  <si>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</si>
  <si>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</si>
  <si>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</si>
  <si>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</si>
  <si>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</si>
  <si>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</si>
  <si>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</si>
  <si>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</si>
  <si>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</si>
  <si>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</si>
  <si>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</si>
  <si>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</si>
  <si>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</si>
  <si>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</si>
  <si>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</si>
  <si>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</si>
  <si>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</si>
  <si>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</si>
  <si>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</si>
  <si>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</si>
  <si>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</si>
  <si>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</si>
  <si>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</si>
  <si>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</si>
  <si>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</si>
  <si>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</si>
  <si>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</si>
  <si>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</si>
  <si>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</si>
  <si>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</si>
  <si>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</si>
  <si>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</si>
  <si>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</si>
  <si>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</si>
  <si>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</si>
  <si>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</si>
  <si>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</si>
  <si>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</si>
  <si>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</si>
  <si>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</si>
  <si>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</si>
  <si>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</si>
  <si>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</si>
  <si>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</si>
  <si>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</si>
  <si>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</si>
  <si>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</si>
  <si>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</si>
  <si>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</si>
  <si>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</si>
  <si>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</si>
  <si>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</si>
  <si>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</si>
  <si>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</si>
  <si>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</si>
  <si>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</si>
  <si>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</si>
  <si>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</si>
  <si>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</si>
  <si>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</si>
  <si>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</si>
  <si>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</si>
  <si>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</si>
  <si>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</si>
  <si>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</si>
  <si>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</si>
  <si>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</si>
  <si>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</si>
  <si>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</si>
  <si>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</si>
  <si>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</si>
  <si>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</si>
  <si>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</si>
  <si>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</si>
  <si>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</si>
  <si>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</si>
  <si>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</si>
  <si>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</si>
  <si>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</si>
  <si>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</si>
  <si>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</si>
  <si>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</si>
  <si>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</si>
  <si>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</si>
  <si>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</si>
  <si>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</si>
  <si>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</si>
  <si>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</si>
  <si>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</si>
  <si>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</si>
  <si>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</si>
  <si>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</si>
  <si>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</si>
  <si>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</si>
  <si>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</si>
  <si>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</si>
  <si>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</si>
  <si>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</si>
  <si>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</si>
  <si>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</si>
  <si>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</si>
  <si>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</si>
  <si>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</si>
  <si>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</si>
  <si>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</si>
  <si>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</si>
  <si>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</si>
  <si>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</si>
  <si>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</si>
  <si>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</si>
  <si>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</si>
  <si>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</si>
  <si>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</si>
  <si>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</si>
  <si>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</si>
  <si>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</si>
  <si>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</si>
  <si>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</si>
  <si>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</si>
  <si>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</si>
  <si>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</si>
  <si>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</si>
  <si>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</si>
  <si>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</si>
  <si>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</si>
  <si>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</si>
  <si>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</si>
  <si>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</si>
  <si>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</si>
  <si>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</si>
  <si>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</si>
  <si>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</si>
  <si>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</si>
  <si>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</si>
  <si>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</si>
  <si>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</si>
  <si>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</si>
  <si>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</si>
  <si>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</si>
  <si>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</si>
  <si>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</si>
  <si>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</si>
  <si>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</si>
  <si>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</si>
  <si>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</si>
  <si>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</si>
  <si>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</si>
  <si>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</si>
  <si>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</si>
  <si>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</si>
  <si>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</si>
  <si>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</si>
  <si>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</si>
  <si>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</si>
  <si>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</si>
  <si>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</si>
  <si>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</si>
  <si>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</si>
  <si>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</si>
  <si>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</si>
  <si>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</si>
  <si>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</si>
  <si>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</si>
  <si>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</si>
  <si>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</si>
  <si>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</si>
  <si>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</si>
  <si>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</si>
  <si>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</si>
  <si>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</si>
  <si>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</si>
  <si>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</si>
  <si>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</si>
  <si>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</si>
  <si>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</si>
  <si>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</si>
  <si>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</si>
  <si>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</si>
  <si>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</si>
  <si>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</si>
  <si>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</si>
  <si>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</si>
  <si>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</si>
  <si>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</si>
  <si>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</si>
  <si>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</si>
  <si>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</si>
  <si>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</si>
  <si>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</si>
  <si>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</si>
  <si>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</si>
  <si>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</si>
  <si>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</si>
  <si>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</si>
  <si>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</si>
  <si>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</si>
  <si>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</si>
  <si>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</si>
  <si>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</si>
  <si>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</si>
  <si>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</si>
  <si>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</si>
  <si>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</si>
  <si>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</si>
  <si>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</si>
  <si>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</si>
  <si>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</si>
  <si>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</si>
  <si>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</si>
  <si>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</si>
  <si>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</si>
  <si>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</si>
  <si>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</si>
  <si>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</si>
  <si>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</si>
  <si>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</si>
  <si>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</si>
  <si>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</si>
  <si>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</si>
  <si>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</si>
  <si>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</si>
  <si>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</si>
  <si>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</si>
  <si>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</si>
  <si>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</si>
  <si>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</si>
  <si>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</si>
  <si>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</si>
  <si>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</si>
  <si>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</si>
  <si>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</si>
  <si>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</si>
  <si>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</si>
  <si>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</si>
  <si>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</si>
  <si>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</si>
  <si>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</si>
  <si>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</si>
  <si>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</si>
  <si>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</si>
  <si>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</si>
  <si>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</si>
  <si>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</si>
  <si>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</si>
  <si>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</si>
  <si>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</si>
  <si>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</si>
  <si>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</si>
  <si>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</si>
  <si>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</si>
  <si>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</si>
  <si>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</si>
  <si>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</si>
  <si>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</si>
  <si>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</si>
  <si>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</si>
  <si>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</si>
  <si>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</si>
  <si>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</si>
  <si>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</si>
  <si>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</si>
  <si>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</si>
  <si>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</si>
  <si>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</si>
  <si>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</si>
  <si>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</si>
  <si>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</si>
  <si>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</si>
  <si>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</si>
  <si>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</si>
  <si>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</si>
  <si>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</si>
  <si>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</si>
  <si>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</si>
  <si>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</si>
  <si>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</si>
  <si>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</si>
  <si>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</si>
  <si>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</si>
  <si>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</si>
  <si>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</si>
  <si>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</si>
  <si>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</si>
  <si>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</si>
  <si>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</si>
  <si>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</si>
  <si>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</si>
  <si>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</si>
  <si>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</si>
  <si>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</si>
  <si>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</si>
  <si>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</si>
  <si>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</si>
  <si>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</si>
  <si>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</si>
  <si>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</si>
  <si>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</si>
  <si>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</si>
  <si>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</si>
  <si>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</si>
  <si>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</si>
  <si>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</si>
  <si>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</si>
  <si>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</si>
  <si>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</si>
  <si>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</si>
  <si>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</si>
  <si>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</si>
  <si>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</si>
  <si>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</si>
  <si>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</si>
  <si>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</si>
  <si>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</si>
  <si>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</si>
  <si>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</si>
  <si>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</si>
  <si>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</si>
  <si>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</si>
  <si>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</si>
  <si>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</si>
  <si>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</si>
  <si>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</si>
  <si>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</si>
  <si>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</si>
  <si>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</si>
  <si>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</si>
  <si>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</si>
  <si>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</si>
  <si>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</si>
  <si>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</si>
  <si>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</si>
  <si>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</si>
  <si>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</si>
  <si>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</si>
  <si>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</si>
  <si>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</si>
  <si>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</si>
  <si>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</si>
  <si>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</si>
  <si>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</si>
  <si>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</si>
  <si>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</si>
  <si>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</si>
  <si>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</si>
  <si>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</si>
  <si>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</si>
  <si>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</si>
  <si>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</si>
  <si>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</si>
  <si>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</si>
  <si>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</si>
  <si>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</si>
  <si>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</si>
  <si>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</si>
  <si>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</si>
  <si>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</si>
  <si>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</si>
  <si>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</si>
  <si>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</si>
  <si>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</si>
  <si>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</si>
  <si>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</si>
  <si>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</si>
  <si>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</si>
  <si>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</si>
  <si>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</si>
  <si>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</si>
  <si>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</si>
  <si>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</si>
  <si>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</si>
  <si>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</si>
  <si>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</si>
  <si>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</si>
  <si>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</si>
  <si>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</si>
  <si>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</si>
  <si>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</si>
  <si>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</si>
  <si>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</si>
  <si>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</si>
  <si>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</si>
  <si>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</si>
  <si>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</si>
  <si>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</si>
  <si>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</si>
  <si>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</si>
  <si>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</si>
  <si>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</si>
  <si>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</si>
  <si>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</si>
  <si>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</si>
  <si>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</si>
  <si>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</si>
  <si>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</si>
  <si>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</si>
  <si>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</si>
  <si>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</si>
  <si>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</si>
  <si>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</si>
  <si>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</si>
  <si>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</si>
  <si>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</si>
  <si>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</si>
  <si>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</si>
  <si>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</si>
  <si>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</si>
  <si>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</si>
  <si>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</si>
  <si>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</si>
  <si>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</si>
  <si>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</si>
  <si>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</si>
  <si>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</si>
  <si>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</si>
  <si>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</si>
  <si>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</si>
  <si>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</si>
  <si>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抵押价格</t>
  </si>
  <si>
    <t>北京经济技术开发区核心区67#街区67F1地块</t>
    <phoneticPr fontId="6"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</si>
  <si>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</si>
  <si>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</si>
  <si>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</si>
  <si>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</si>
  <si>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</si>
  <si>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</si>
  <si>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</si>
  <si>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</si>
  <si>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</si>
  <si>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</si>
  <si>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</si>
  <si>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</si>
  <si>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</si>
  <si>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</si>
  <si>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</si>
  <si>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</si>
  <si>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北京经济技术开发区河西区X46R1、X46R2地块R2二类居住用地、A334托幼用地国有建设用地</t>
  </si>
  <si>
    <t>综合用地(含住宅)</t>
  </si>
  <si>
    <t>r2≤2.5,a33≤0.8</t>
  </si>
  <si>
    <t>挂牌</t>
  </si>
  <si>
    <t>R2二类居住用地、A334托幼用地</t>
  </si>
  <si>
    <t>2020-08-03</t>
  </si>
  <si>
    <t>北京中海地产有限公司</t>
  </si>
  <si>
    <t>3星</t>
  </si>
  <si>
    <t>北京市大兴区西红门镇B1-05-(2)地块R2二类居住用地、B2-02地块S4社会停车场用地</t>
  </si>
  <si>
    <t>r2≤2.1</t>
  </si>
  <si>
    <t>R2二类居住用地、S4社会停车场用地</t>
  </si>
  <si>
    <t>2020-04-29</t>
  </si>
  <si>
    <t>北京新城万隆房地产开发有限公司</t>
  </si>
  <si>
    <t>北京市大兴区旧宫镇YZ00-0801-0018、0019、0024、0025、0026地块二类居住用地、基础教育用地</t>
  </si>
  <si>
    <t>基础教育≤0.8,二类居住≤2.5</t>
  </si>
  <si>
    <t>二类居住用地、基础教育用地</t>
  </si>
  <si>
    <t>2020-02-18</t>
  </si>
  <si>
    <t>北京昱意房地产开发有限公司</t>
  </si>
  <si>
    <t>4星</t>
  </si>
  <si>
    <t>北京市大兴区地铁亦庄线旧宫东站2号地项目DX05-0102-6003、6004、6005地块R2居住用地、A334基础教育用地及S1城市道路用地</t>
  </si>
  <si>
    <t>r2≤2.5,幼儿园≤0.8,a33≤0.8</t>
  </si>
  <si>
    <t>R2居住用地及A334基础教育用地及S1城市道路用地</t>
  </si>
  <si>
    <t>2019-10-15</t>
  </si>
  <si>
    <t>中国电建地产集团有限公司、京能置业股份有限公司联合体</t>
  </si>
  <si>
    <t>北京市大兴区大兴新城核心区H组团DX00-0106-001a、001b地块R2二类居住用地、A334基础教育用地</t>
  </si>
  <si>
    <t>≤2.0</t>
  </si>
  <si>
    <t>R2二类居住用地、A334基础教育用地</t>
  </si>
  <si>
    <t>第一批</t>
  </si>
  <si>
    <t>2021-05-08</t>
  </si>
  <si>
    <t>2021-05-11</t>
  </si>
  <si>
    <t>中冶置业集团有限公司、宁波雨航企业管理合伙企业(有限合伙)</t>
  </si>
  <si>
    <t>北京市通州新城0203街区TZ00-0203-6009地块R2二类居住用地、TZ00-0203-6010地块A33基础教育用地</t>
  </si>
  <si>
    <t>r2=1.6,a33=0.8</t>
  </si>
  <si>
    <t>R2二类居住用地、A33基础教育用地</t>
  </si>
  <si>
    <t>2019-02-02</t>
  </si>
  <si>
    <t>北京通州房地产开发有限责任公司</t>
  </si>
  <si>
    <t>北京经济技术开发区路东区E9R2、E9A2地块R2二类居住用地、A33基础教育用地</t>
  </si>
  <si>
    <t>r2≤2.8,a33≤0.8</t>
  </si>
  <si>
    <t>2019-11-13</t>
  </si>
  <si>
    <t>山西通建房地产开发有限公司</t>
  </si>
  <si>
    <t>北京市通州区台湖镇亦庄新城站前区YZ00-0401-0056、YZ00-0401-L0055-02地块R2二类居住用地、A334托幼用地</t>
  </si>
  <si>
    <t>a334≤0.8,r2≤2.0</t>
  </si>
  <si>
    <t>北京绿城投资有限公司</t>
  </si>
  <si>
    <t>5星</t>
  </si>
  <si>
    <t>北京市大兴区黄村镇三合庄村DX00-0202-6009地块F1住宅混合公建用地</t>
  </si>
  <si>
    <t>F1住宅混合公建用地</t>
  </si>
  <si>
    <t>2019-02-25</t>
  </si>
  <si>
    <t>北京金地达远企业管理咨询有限公司</t>
  </si>
  <si>
    <t>北京市通州区宋庄镇双埠头村、大庞村、大兴庄村土地一级开发项目TZ03-0403-6001、6004、6007、6010、6021、6024地块R2二类居住用地、6018地块B1商业用地、6009地块A334幼儿园用地</t>
  </si>
  <si>
    <t>r2≤1.8、1.6,b1≤1.8,a334≤0.8</t>
  </si>
  <si>
    <t>R2二类居住用地、B1商业用地、A334幼儿园用地</t>
  </si>
  <si>
    <t>北京兴远慧业科技有限公司</t>
  </si>
  <si>
    <t>北京市大兴区瀛海镇YZ00-0803-6024、6025、6032、6035、6038地块F1住宅混合公建用地、A33基础教育用地、S32公交场站设施用地</t>
  </si>
  <si>
    <t>f1=2.5,a33=0.8</t>
  </si>
  <si>
    <t>F1住宅混合公建用地、A33基础教育用地、S32公交场站设施用地</t>
  </si>
  <si>
    <t>北京市通州区台湖镇YZ00-0405-0094等地块R2二类居住用地、YZ00-0405-0097地块A33基础教育用地</t>
  </si>
  <si>
    <t>2019-01-31</t>
  </si>
  <si>
    <t>北京万科企业有限公司、深圳市创邺企业管理有限公司联合体</t>
  </si>
  <si>
    <t>北京城市副中心0302街区FZX-0302-6004、6002地块F1住宅混合公建用地、A334托幼用地</t>
  </si>
  <si>
    <t>f1≤2.4,a334≤0.8</t>
  </si>
  <si>
    <t>F1住宅混合公建用地、A334托幼用地</t>
  </si>
  <si>
    <t>2021-05-27</t>
  </si>
  <si>
    <t>北京城建投资发展股份有限公司、北京迪多纳企业管理有限公司联合体</t>
  </si>
  <si>
    <t>北京市通州区永顺镇TZ-0104-6002地块F1住宅混合公建用地、TZ-0104-6001地块A33基础教育用地</t>
  </si>
  <si>
    <t>f1=1.6,a33=0.8</t>
  </si>
  <si>
    <t>F1住宅混合公建用地、A33基础教育用地</t>
  </si>
  <si>
    <t>天津北方泽茂企业管理有限公司、北京煦腾房地产开发有限公司联合体</t>
  </si>
  <si>
    <t>北京市通州区马驹桥镇国家环保产业园区YZ00-0703-6004、6005、6006地块R2二类居住用地及A33基础教育用地</t>
  </si>
  <si>
    <t>r2≤2.2,a33≤0.8</t>
  </si>
  <si>
    <t>北京融玺企业管理服务有限公司、北京首都开发股份有限公司、北京通州投资发展有限公司联合体</t>
  </si>
  <si>
    <t>北京市通州区马驹桥镇亦庄新城0500街区YZ00-0500-6007等地块R2二类居住用地、A334托幼用地</t>
  </si>
  <si>
    <t>a334≤0.8,r2(6007)≤2.4,r2(6011)≤2.2</t>
  </si>
  <si>
    <t>2020-02-11</t>
  </si>
  <si>
    <t>北京润置商业运营管理有限公司、华通置业有限公司联合体</t>
  </si>
  <si>
    <t>北京市大兴区黄村镇孙村组团DX00-0009-6010地块R2二类居住用地、DX00-0009-6009地块A33基础教育用地</t>
  </si>
  <si>
    <t>r2≤1.8,a33≤0.8</t>
  </si>
  <si>
    <t>北京融创恒基地产有限公司、北京昌政大道实业有限公司联合体</t>
  </si>
  <si>
    <t>2星</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</si>
  <si>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</si>
  <si>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</si>
  <si>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</si>
  <si>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北京住总房地产开发有限责任公司、北京首都开发股份有限公司</t>
  </si>
  <si>
    <t>北京市大兴区庞各庄镇DX06-0103-6001、6002、6003地块R2二类居住用地、A33基础教育用地</t>
  </si>
  <si>
    <t>r2≤2,a33≤0.8</t>
  </si>
  <si>
    <t>2019-09-25</t>
  </si>
  <si>
    <t>保利(北京)房地产开发有限公司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</si>
  <si>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</si>
  <si>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</si>
  <si>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</si>
  <si>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</si>
  <si>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</si>
  <si>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北京经济技术开发区南海子郊野公园B片区B-04/*B-06/B-11地块F3其他类多功能用地</t>
  </si>
  <si>
    <t>商业/办公用地</t>
  </si>
  <si>
    <t>b-04、b-06≤1.5,b-11≤2</t>
  </si>
  <si>
    <t>F3其他类多功能用地</t>
  </si>
  <si>
    <t>2019-05-28</t>
  </si>
  <si>
    <t>北京国苑体育文化投资有限责任公司</t>
  </si>
  <si>
    <t>北京市大兴区大兴新城核心区D、K组团土地一级开发DX00-0102-6006、6010、6018、6024、6026地块R2二类居住用地等</t>
  </si>
  <si>
    <t>≤2.42</t>
  </si>
  <si>
    <t>R2二类居住用地、F3其他类多功能用地、B1商业设施用地、A334基础教育用地</t>
  </si>
  <si>
    <t>北京骏盛企业管理咨询有限公司、北京骏磊企业管理咨询有限公司、天津兴辉企业管理咨询有限公司</t>
  </si>
  <si>
    <t>北京城市副中心1201街区FZX-1201-0019、0020、0040地块R2二类居住用地、0016地块F3其他类多功能用地、0039地块A51医院用地(配建“国际人才社区住房”)</t>
  </si>
  <si>
    <t>r2≤2.0;f3≤2.5;a51≤1.3</t>
  </si>
  <si>
    <t>R2二类居住用地、F3其他类多功能用地、A51医院用地</t>
  </si>
  <si>
    <t>北京京投诚达科技发展有限公司</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</si>
  <si>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</si>
  <si>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</si>
  <si>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</si>
  <si>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</si>
  <si>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</si>
  <si>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北京市房山区拱辰街道17-02-10地块F1住宅混合公建用地、17-02-09地块A33基础教育用地</t>
  </si>
  <si>
    <t>2018-11-26</t>
  </si>
  <si>
    <t>北京华发创盛置业有限公司</t>
  </si>
  <si>
    <t>北京市通州区永顺镇运通人和良园二期项目FZX-0604-6002、FZX-0604-6006地块R2二类居住用地、A334托幼用地</t>
  </si>
  <si>
    <t>2020-07-14</t>
  </si>
  <si>
    <t>北京古城房地产开发有限公司、北京通州投资发展有限公司、北京春江房地产经纪有限责任公司联合体</t>
  </si>
  <si>
    <t>北京市大兴区西红门镇集体经营性建设用地入市试点2号地C地块(2-006-1)F81绿隔产业用地</t>
  </si>
  <si>
    <t>其它用地</t>
  </si>
  <si>
    <t>F81绿隔产业用地</t>
  </si>
  <si>
    <t>2019-03-08</t>
  </si>
  <si>
    <t>中铁第五勘察设计院集团有限公司、中国铁建投资集团有限公司、中铁十一局集团有限公司、中铁磁浮交通投资建设有限公司、中铁建设集团房地产有限公司</t>
  </si>
  <si>
    <t>北京市大兴区西红门镇集体经营性建设用地2号地D地块</t>
  </si>
  <si>
    <t>≤2.2</t>
  </si>
  <si>
    <t>2020-12-24</t>
  </si>
  <si>
    <t>中节能首座(北京)建设有限公司</t>
  </si>
  <si>
    <t>北京市通州区台湖镇TZ09-0100-6016地块、6019地块R2二类居住用地、TZ09-0100-6018地块A33基础教育用地</t>
  </si>
  <si>
    <t>中建一局集团房地产开发有限公司</t>
  </si>
  <si>
    <t>北京经济技术开发区核心区67号街区67F1地块F3其他类多功能用地</t>
  </si>
  <si>
    <t>≤2.10</t>
  </si>
  <si>
    <t>2021-02-01</t>
  </si>
  <si>
    <t>北京亦庄盛元投资开发有限公司</t>
  </si>
  <si>
    <t>集体建设用地区级统筹大兴区瀛海镇YZ00-0803-2009、2012A、2012B、2015地块</t>
  </si>
  <si>
    <t>f81≤2.5</t>
  </si>
  <si>
    <t>2021-02-09</t>
  </si>
  <si>
    <t>2021-02-10</t>
  </si>
  <si>
    <t>中建三局房地产开发有限公司、湖北省鄂旅投置业集团有限公司</t>
  </si>
  <si>
    <t>集体建设用地区级统筹大兴区瀛海镇YZ00-0803-2010、2013A、2013B、2014、2016地块</t>
  </si>
  <si>
    <t>F81绿隔产业用地(建设共有产权房)</t>
  </si>
  <si>
    <t>2019-09-12</t>
  </si>
  <si>
    <t>北京上瑞置业有限公司</t>
  </si>
  <si>
    <t>集体建设用地区级统筹大兴区瀛海镇YZ00-0803-2003、2004、2005A、2005B、2008地块</t>
  </si>
  <si>
    <t>2020-12-25</t>
  </si>
  <si>
    <t>北京北投如郡房地产开发有限公司</t>
  </si>
  <si>
    <t>北京市通州区潞城镇FZX-0901-0162地块F3其他类多功能用地</t>
  </si>
  <si>
    <t>≤2.5</t>
  </si>
  <si>
    <t>2019-10-17</t>
  </si>
  <si>
    <t>北京润置商业运营管理有限公司、北京首都开发股份有限公司联合体</t>
  </si>
  <si>
    <t>北京市房山区良乡镇FS04-0100-6056等地块R2二类居住用地、B11零售商业用地</t>
  </si>
  <si>
    <t>6056地块≤2,6058、6053地块≤2.5</t>
  </si>
  <si>
    <t>R2二类居住用地、B11零售商业用地</t>
  </si>
  <si>
    <t>2020-04-23</t>
  </si>
  <si>
    <t>北京恒世投资有限公司</t>
  </si>
  <si>
    <t>北京市大兴区黄村镇狼垡地区集体产业用地2号地DX00-1002-L06地块</t>
  </si>
  <si>
    <t>2020-12-22</t>
  </si>
  <si>
    <t>北京兴业恒盛置业有限公司</t>
  </si>
  <si>
    <t>北京市房山区青龙湖镇中心区01-0010、0021地块R2二类居住用地、01-0015地块B4综合性商业金融服务业用地</t>
  </si>
  <si>
    <t>R2二类居住用地、B4综合性商业金融服务业用地</t>
  </si>
  <si>
    <t>2018-10-19</t>
  </si>
  <si>
    <t>中铁建设集团房地产有限公司</t>
  </si>
  <si>
    <t>1星</t>
  </si>
  <si>
    <t>北京城市副中心FZX-0902-0229、0230地块</t>
  </si>
  <si>
    <t>≤3.1</t>
  </si>
  <si>
    <t>B2商务用地</t>
  </si>
  <si>
    <t>2021-05-19</t>
  </si>
  <si>
    <t>北京城市副中心投资建设集团有限公司</t>
  </si>
  <si>
    <t>北京市房山区拱辰街道FS00-LX09-6001地块R2二类居住用地、FS00-LX09-6003地块A33基础教育用地</t>
  </si>
  <si>
    <t>r2≤2.15,a33≤0.8</t>
  </si>
  <si>
    <t>2019-11-18</t>
  </si>
  <si>
    <t>北京茂越企业管理有限公司</t>
  </si>
  <si>
    <t>北京经济技术开发区河西区X78C2地块B4综合性商业金融服务业用地</t>
  </si>
  <si>
    <t>≤2</t>
  </si>
  <si>
    <t>B4综合性商业金融服务业用地</t>
  </si>
  <si>
    <t>2019-08-29</t>
  </si>
  <si>
    <t>北京尚恒锦瑞商业运营管理有限公司</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</si>
  <si>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</si>
  <si>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</si>
  <si>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</si>
  <si>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</si>
  <si>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</si>
  <si>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北京经济技术开发区路东区G4F-4、G6F-1、G6F-5、G7F-1、G7F-2、G7F-3地块F3其他类多功能用地国有建设用地</t>
  </si>
  <si>
    <t>g4f-4≤3,g6f-1、g6f-5、g7f-1、g7f-2≤2.5,g7f-3≤1.96</t>
  </si>
  <si>
    <t>北京通明湖信息城发展有限公司</t>
  </si>
  <si>
    <t>北京经济技术开发区路东区E16C-4地块F3其他类多功能用地</t>
  </si>
  <si>
    <t>≤3.0</t>
  </si>
  <si>
    <t>北京智方润科科技发展有限公司</t>
  </si>
  <si>
    <t>北京市通州区马驹桥镇C01地块B1商业用地、C-07地块R2二类居住用地、C-09地块A33基础教育用地</t>
  </si>
  <si>
    <t>2019-01-28</t>
  </si>
  <si>
    <t>北京北投置业有限公司、北京通州投资发展有限公司</t>
  </si>
  <si>
    <t>北京市大兴区魏善庄镇集体经营性建设用地(北部组团)项目DX07-0303-0009地块</t>
  </si>
  <si>
    <t>2021-07-29</t>
  </si>
  <si>
    <t>2021-08-02</t>
  </si>
  <si>
    <t>北京兴瑞众信投资管理有限公司</t>
  </si>
  <si>
    <t>0星</t>
  </si>
  <si>
    <t>北京市房山区长阳镇04街区FS10-0104-6001、6002地块R2二类居住用地、A334基础教育用地</t>
  </si>
  <si>
    <t>r2≤2.5;a334≤0.8</t>
  </si>
  <si>
    <t>招标</t>
  </si>
  <si>
    <t>2021-04-22</t>
  </si>
  <si>
    <t>北京首都开发股份有限公司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</si>
  <si>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</si>
  <si>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</si>
  <si>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</si>
  <si>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</si>
  <si>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北京城市副中心12组团西北部</t>
  </si>
  <si>
    <t>≤2.15</t>
  </si>
  <si>
    <t>2021-02-07</t>
  </si>
  <si>
    <t>北京公联鼎成交通枢纽建设发展有限公司</t>
  </si>
  <si>
    <t>北京大兴国际机场临空经济区0107-076、095地块W1一类物流仓储用地国有建设用地使用权出让</t>
  </si>
  <si>
    <t>≤1.5</t>
  </si>
  <si>
    <t>物流仓储用地</t>
  </si>
  <si>
    <t>北京丰捷泰企业管理有限公司</t>
  </si>
  <si>
    <t>公寓</t>
  </si>
  <si>
    <t>公寓</t>
    <phoneticPr fontId="3" type="noConversion"/>
  </si>
  <si>
    <t>商业</t>
  </si>
  <si>
    <t>商业</t>
    <phoneticPr fontId="3" type="noConversion"/>
  </si>
  <si>
    <t>酒店</t>
  </si>
  <si>
    <t>酒店</t>
    <phoneticPr fontId="3" type="noConversion"/>
  </si>
  <si>
    <t>地上</t>
  </si>
  <si>
    <t>通路</t>
  </si>
  <si>
    <t>通电</t>
  </si>
  <si>
    <t>通讯</t>
  </si>
  <si>
    <t>通上水</t>
  </si>
  <si>
    <t>通下水</t>
  </si>
  <si>
    <t>通热</t>
  </si>
  <si>
    <t>车库</t>
  </si>
  <si>
    <t>底商</t>
  </si>
  <si>
    <t>地下</t>
  </si>
  <si>
    <t>公寓</t>
    <phoneticPr fontId="7" type="noConversion"/>
  </si>
  <si>
    <t>酒店</t>
    <phoneticPr fontId="7" type="noConversion"/>
  </si>
  <si>
    <t>商业</t>
    <phoneticPr fontId="7" type="noConversion"/>
  </si>
  <si>
    <t>车库</t>
    <phoneticPr fontId="7" type="noConversion"/>
  </si>
  <si>
    <t>利息：取LPR加浮动点数</t>
  </si>
  <si>
    <t>押一</t>
  </si>
  <si>
    <t>按租金收入计税</t>
  </si>
  <si>
    <t>钢混</t>
  </si>
  <si>
    <t>不动产收益法-公寓</t>
  </si>
  <si>
    <t>不动产收益法-公寓</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</si>
  <si>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</si>
  <si>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</si>
  <si>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</si>
  <si>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不动产收益法-酒店</t>
  </si>
  <si>
    <t>不动产收益法-车库</t>
  </si>
  <si>
    <t>不动产收益法-商业</t>
  </si>
  <si>
    <t>剩余法-待开发</t>
  </si>
  <si>
    <t>比较法-住宅、综合</t>
  </si>
  <si>
    <t>正常</t>
  </si>
  <si>
    <t>楼面地价</t>
  </si>
  <si>
    <t>自定义</t>
  </si>
  <si>
    <t>车库及人防</t>
    <phoneticPr fontId="3" type="noConversion"/>
  </si>
  <si>
    <t>询价</t>
    <phoneticPr fontId="9" type="noConversion"/>
  </si>
  <si>
    <t>燃气</t>
  </si>
  <si>
    <t>一般</t>
  </si>
  <si>
    <t>一般</t>
    <phoneticPr fontId="3" type="noConversion"/>
  </si>
  <si>
    <t>较好</t>
  </si>
  <si>
    <t>较好</t>
    <phoneticPr fontId="3" type="noConversion"/>
  </si>
  <si>
    <t>七通</t>
  </si>
  <si>
    <t>七通</t>
    <phoneticPr fontId="3" type="noConversion"/>
  </si>
  <si>
    <t>F3其他类多功能用地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</si>
</sst>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7" fillId="0" borderId="0" xfId="0" applyFont="1" applyAlignment="1"/>
    <xf numFmtId="0" fontId="0" fillId="6" borderId="0" xfId="0" applyFill="1" applyAlignment="1"/>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2" fillId="5" borderId="0" xfId="0" applyFont="1" applyFill="1" applyProtection="1">
      <alignment vertical="center"/>
      <protection locked="0"/>
    </xf>
    <xf numFmtId="49" fontId="260" fillId="0" borderId="12"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0" fontId="145" fillId="6" borderId="0" xfId="0"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北京市北京经济技术开发区核心区67#街区67F1地块出让国有建设用地使用权抵押价格预评估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崔锴、郑燚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受贵公司委托，我公司对北京市北京经济技术开发区核心区67#街区67F1地块出让国有建设用地使用权抵押价格进行了预评估。</v>
      </c>
      <c r="AM6" s="2619"/>
    </row>
    <row r="7" spans="1:55" s="2593" customFormat="1">
      <c r="A7" s="2594" t="s">
        <v>2636</v>
      </c>
      <c r="B7" s="2595" t="str">
        <f>'预评函-1'!A6</f>
        <v>估价对象为使用的、位于北京市北京经济技术开发区核心区67#街区67F1地块出让国有建设用地使用权。根据《国有土地使用证》[]，估价对象（分摊）出让国有建设用地使用权面积为17997.97平方米。根据《建设工程规划许可证》[]、《出让合同》[]，估价对象规划建筑面积为68200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2021年9月9日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根据委托估价方介绍及评估专业人员现场勘查，本次评估估价对象实际土地开发程度为红线外市政基础设施达“七通”（即通路、通电、通讯、通上水、通下水、通热、燃气）、宗地红线内场地平整。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根据《国有土地使用证》[]，估价对象（分摊）出让国有建设用地使用权面积为17997.97平方米。根据《建设工程规划许可证》[]、《出让合同》[]，估价对象规划建筑面积为68200平方米。</v>
      </c>
    </row>
    <row r="16" spans="1:55" s="2593" customFormat="1">
      <c r="A16" s="2594" t="s">
        <v>2648</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2月19日地下车库2071年2月19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估价期日：2021年9月9日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17997.97</v>
      </c>
    </row>
    <row r="44" spans="1:2">
      <c r="A44" s="2594" t="s">
        <v>2719</v>
      </c>
      <c r="B44" s="2595" t="str">
        <f>'预评函-2'!O3</f>
        <v>规划建筑面积/㎡</v>
      </c>
    </row>
    <row r="45" spans="1:2">
      <c r="A45" s="2594" t="s">
        <v>2701</v>
      </c>
      <c r="B45" s="2595">
        <f>'预评函-2'!O5</f>
        <v>68200</v>
      </c>
    </row>
    <row r="46" spans="1:2">
      <c r="A46" s="2594" t="s">
        <v>2702</v>
      </c>
      <c r="B46" s="2595">
        <f ca="1">'预评函-2'!P5</f>
        <v>28075</v>
      </c>
    </row>
    <row r="47" spans="1:2">
      <c r="A47" s="2594" t="s">
        <v>2703</v>
      </c>
      <c r="B47" s="2595">
        <f ca="1">'预评函-2'!Q5</f>
        <v>7409</v>
      </c>
    </row>
    <row r="48" spans="1:2">
      <c r="A48" s="2594" t="s">
        <v>2704</v>
      </c>
      <c r="B48" s="2595">
        <f ca="1">'预评函-2'!R5</f>
        <v>50529</v>
      </c>
    </row>
    <row r="49" spans="1:2">
      <c r="A49" s="2594" t="s">
        <v>2720</v>
      </c>
      <c r="B49" s="2595" t="str">
        <f>'预评函-2'!A6</f>
        <v>抵押价格</v>
      </c>
    </row>
    <row r="50" spans="1:2">
      <c r="A50" s="2594" t="s">
        <v>2705</v>
      </c>
      <c r="B50" s="2595">
        <f ca="1">'预评函-2'!R6</f>
        <v>50529</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崔锴</v>
      </c>
    </row>
    <row r="70" spans="1:2">
      <c r="A70" s="2594" t="s">
        <v>2669</v>
      </c>
      <c r="B70" s="2601">
        <f ca="1">'预评函-3'!B20</f>
        <v>2010110070</v>
      </c>
    </row>
    <row r="71" spans="1:2">
      <c r="A71" s="2594" t="s">
        <v>2670</v>
      </c>
      <c r="B71" s="2595" t="str">
        <f>'预评函-3'!A21</f>
        <v>郑燚</v>
      </c>
    </row>
    <row r="72" spans="1:2" s="2609" customFormat="1" ht="15" thickBot="1">
      <c r="A72" s="2616" t="s">
        <v>2670</v>
      </c>
      <c r="B72" s="2622">
        <f ca="1">'预评函-3'!B21</f>
        <v>2014110011</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H40" sqref="H40"/>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327" t="str">
        <f>IF(B10="北京市","北京市",C10)&amp;F10&amp;B16&amp;"国有建设用地使用权"&amp;B9&amp;"预评估"</f>
        <v>北京市北京经济技术开发区核心区67#街区67F1地块出让国有建设用地使用权抵押价格预评估</v>
      </c>
      <c r="C1" s="3328"/>
      <c r="D1" s="3328"/>
      <c r="E1" s="3328"/>
      <c r="F1" s="3328"/>
      <c r="G1" s="3328"/>
      <c r="H1" s="3328"/>
      <c r="I1" s="3329"/>
      <c r="J1" s="3072"/>
      <c r="K1" s="2309" t="str">
        <f>IF(B10="北京市","北京市",C10)&amp;F10&amp;B16&amp;"国有建设用地使用权"&amp;B9</f>
        <v>北京市北京经济技术开发区核心区67#街区67F1地块出让国有建设用地使用权抵押价格</v>
      </c>
      <c r="L1" s="3051"/>
      <c r="M1" s="3051"/>
      <c r="N1" s="3052"/>
      <c r="O1" s="3053"/>
      <c r="P1" s="3052"/>
      <c r="Q1" s="3052"/>
      <c r="R1" s="3052"/>
      <c r="S1" s="3052"/>
      <c r="T1" s="3052"/>
      <c r="U1" s="3052"/>
    </row>
    <row r="2" spans="1:21">
      <c r="A2" s="1586" t="s">
        <v>1926</v>
      </c>
      <c r="B2" s="1754"/>
      <c r="D2" s="3072"/>
      <c r="E2" s="3072"/>
      <c r="F2" s="3072"/>
      <c r="G2" s="3072"/>
      <c r="H2" s="3073"/>
      <c r="I2" s="3074"/>
      <c r="J2" s="3072"/>
      <c r="K2" s="2309" t="str">
        <f>IF(B10="北京市","北京市",C10)&amp;F10&amp;B16&amp;"国有建设用地使用权"</f>
        <v>北京市北京经济技术开发区核心区67#街区67F1地块出让国有建设用地使用权</v>
      </c>
      <c r="L2" s="3051"/>
      <c r="M2" s="3051"/>
      <c r="N2" s="3052"/>
      <c r="O2" s="3053"/>
      <c r="P2" s="3052"/>
      <c r="Q2" s="3052"/>
      <c r="R2" s="3052"/>
      <c r="S2" s="3052"/>
      <c r="T2" s="3052"/>
      <c r="U2" s="3052"/>
    </row>
    <row r="3" spans="1:21">
      <c r="A3" s="1587" t="s">
        <v>1927</v>
      </c>
      <c r="B3" s="1588"/>
      <c r="C3" s="2995" t="s">
        <v>1983</v>
      </c>
      <c r="D3" s="1588">
        <v>44448</v>
      </c>
      <c r="E3" s="3072"/>
      <c r="F3" s="3072"/>
      <c r="G3" s="3072"/>
      <c r="H3" s="3073"/>
      <c r="I3" s="3074"/>
      <c r="J3" s="3072"/>
      <c r="K3" s="3055"/>
      <c r="L3" s="3051"/>
      <c r="M3" s="3051"/>
      <c r="N3" s="3052"/>
      <c r="O3" s="3053"/>
      <c r="P3" s="3052"/>
      <c r="Q3" s="3052"/>
      <c r="R3" s="3052"/>
      <c r="S3" s="3052"/>
      <c r="T3" s="3052"/>
      <c r="U3" s="3052"/>
    </row>
    <row r="4" spans="1:21" ht="15" thickBot="1">
      <c r="A4" s="1590" t="s">
        <v>1928</v>
      </c>
      <c r="B4" s="1755" t="s">
        <v>3000</v>
      </c>
      <c r="C4" s="1758">
        <f ca="1">SUMIF(土地估价师,B4,估价师及机构信息!E3:E16)</f>
        <v>2010110070</v>
      </c>
      <c r="D4" s="1755" t="s">
        <v>3001</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2"/>
      <c r="K4" s="2309" t="str">
        <f>IF(AND(F4="——",H4="——"),B4&amp;"、"&amp;D4,IF(AND(F4&lt;&gt;"——",H4="——"),B4&amp;"、"&amp;D4&amp;"、"&amp;F4,B4&amp;"、"&amp;D4&amp;"、"&amp;F4&amp;"、"&amp;H4))</f>
        <v>崔锴、郑燚</v>
      </c>
      <c r="L4" s="3051"/>
      <c r="M4" s="3051"/>
      <c r="N4" s="3052"/>
      <c r="O4" s="3053"/>
      <c r="P4" s="3052"/>
      <c r="Q4" s="3052"/>
      <c r="R4" s="3052"/>
      <c r="S4" s="3052"/>
      <c r="T4" s="3052"/>
      <c r="U4" s="3052"/>
    </row>
    <row r="5" spans="1:21" ht="15" thickTop="1">
      <c r="A5" s="1591" t="s">
        <v>1929</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2685</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2686</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1930</v>
      </c>
      <c r="B8" s="1596" t="s">
        <v>2950</v>
      </c>
      <c r="C8" s="1597"/>
      <c r="D8" s="3333" t="s">
        <v>1932</v>
      </c>
      <c r="E8" s="1756" t="s">
        <v>3002</v>
      </c>
      <c r="F8" s="1598"/>
      <c r="G8" s="3073"/>
      <c r="H8" s="3073"/>
      <c r="I8" s="3076"/>
      <c r="J8" s="3072"/>
      <c r="K8" s="3055"/>
      <c r="L8" s="3051"/>
      <c r="M8" s="3051"/>
      <c r="N8" s="3052"/>
      <c r="O8" s="3053"/>
      <c r="P8" s="3052"/>
      <c r="Q8" s="3052"/>
      <c r="R8" s="3052"/>
      <c r="S8" s="3052"/>
      <c r="T8" s="3052"/>
      <c r="U8" s="3052"/>
    </row>
    <row r="9" spans="1:21" ht="15" thickBot="1">
      <c r="A9" s="2997" t="s">
        <v>1931</v>
      </c>
      <c r="B9" s="1599" t="s">
        <v>3002</v>
      </c>
      <c r="C9" s="1600"/>
      <c r="D9" s="3334"/>
      <c r="E9" s="1599"/>
      <c r="F9" s="1663"/>
      <c r="G9" s="3077"/>
      <c r="H9" s="3077"/>
      <c r="I9" s="3078"/>
      <c r="J9" s="3072"/>
      <c r="K9" s="3055"/>
      <c r="L9" s="3051"/>
      <c r="M9" s="3051"/>
      <c r="N9" s="3052"/>
      <c r="O9" s="3053"/>
      <c r="P9" s="3052"/>
      <c r="Q9" s="3052"/>
      <c r="R9" s="3052"/>
      <c r="S9" s="3052"/>
      <c r="T9" s="3052"/>
      <c r="U9" s="3052"/>
    </row>
    <row r="10" spans="1:21" ht="15" thickTop="1">
      <c r="A10" s="2998" t="s">
        <v>1987</v>
      </c>
      <c r="B10" s="1639" t="s">
        <v>1933</v>
      </c>
      <c r="C10" s="1601"/>
      <c r="D10" s="1593"/>
      <c r="E10" s="1602" t="s">
        <v>1934</v>
      </c>
      <c r="F10" s="1603" t="s">
        <v>3003</v>
      </c>
      <c r="G10" s="1661"/>
      <c r="H10" s="1662"/>
      <c r="I10" s="1593"/>
      <c r="J10" s="3072"/>
      <c r="K10" s="3055"/>
      <c r="L10" s="3051"/>
      <c r="M10" s="3051"/>
      <c r="N10" s="3052"/>
      <c r="O10" s="3053"/>
      <c r="P10" s="3052"/>
      <c r="Q10" s="3052"/>
      <c r="R10" s="3052"/>
      <c r="S10" s="3052"/>
      <c r="T10" s="3052"/>
      <c r="U10" s="3052"/>
    </row>
    <row r="11" spans="1:21">
      <c r="A11" s="2999" t="s">
        <v>1988</v>
      </c>
      <c r="B11" s="1618"/>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330"/>
      <c r="C12" s="3331"/>
      <c r="D12" s="3332"/>
      <c r="E12" s="1619" t="s">
        <v>2049</v>
      </c>
      <c r="F12" s="3348" t="s">
        <v>2866</v>
      </c>
      <c r="G12" s="3349"/>
      <c r="H12" s="3349"/>
      <c r="I12" s="3350"/>
      <c r="J12" s="3072"/>
      <c r="K12" s="3055"/>
      <c r="L12" s="3051"/>
      <c r="M12" s="3051"/>
      <c r="N12" s="3052"/>
      <c r="O12" s="3053"/>
      <c r="P12" s="3052"/>
      <c r="Q12" s="3052"/>
      <c r="R12" s="3052"/>
      <c r="S12" s="3052"/>
      <c r="T12" s="3052"/>
      <c r="U12" s="3052"/>
    </row>
    <row r="13" spans="1:21">
      <c r="A13" s="1610" t="s">
        <v>2047</v>
      </c>
      <c r="B13" s="3330"/>
      <c r="C13" s="3331"/>
      <c r="D13" s="3332"/>
      <c r="E13" s="1619" t="s">
        <v>2049</v>
      </c>
      <c r="F13" s="3348" t="s">
        <v>2867</v>
      </c>
      <c r="G13" s="3349"/>
      <c r="H13" s="3349"/>
      <c r="I13" s="3350"/>
      <c r="J13" s="3072"/>
      <c r="K13" s="3055"/>
      <c r="L13" s="3051"/>
      <c r="M13" s="3051"/>
      <c r="N13" s="3052"/>
      <c r="O13" s="3053"/>
      <c r="P13" s="3052"/>
      <c r="Q13" s="3052"/>
      <c r="R13" s="3052"/>
      <c r="S13" s="3052"/>
      <c r="T13" s="3052"/>
      <c r="U13" s="3052"/>
    </row>
    <row r="14" spans="1:21">
      <c r="A14" s="1587" t="s">
        <v>2050</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1937</v>
      </c>
      <c r="E15" s="1682" t="s">
        <v>1938</v>
      </c>
      <c r="F15" s="1682"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2945</v>
      </c>
      <c r="C16" s="1619" t="s">
        <v>1936</v>
      </c>
      <c r="D16" s="2487" t="s">
        <v>1937</v>
      </c>
      <c r="E16" s="1642" t="s">
        <v>3232</v>
      </c>
      <c r="F16" s="1642"/>
      <c r="G16" s="1642" t="s">
        <v>35</v>
      </c>
      <c r="H16" s="1642"/>
      <c r="I16" s="1609" t="s">
        <v>1942</v>
      </c>
      <c r="J16" s="3072"/>
      <c r="K16" s="2310" t="str">
        <f>IF(D17="","",D16&amp;TEXT(D17,"yyyy年m月d日;;"))</f>
        <v/>
      </c>
      <c r="L16" s="1619" t="str">
        <f>IF(OR(K16="",M16=""),"","、")</f>
        <v/>
      </c>
      <c r="M16" s="2310" t="str">
        <f>IF(E17="","",E16&amp;TEXT(E17,"yyyy年m月d日;;"))</f>
        <v>商业2061年2月19日</v>
      </c>
      <c r="N16" s="1619" t="str">
        <f>IF(OR(M16="",O16=""),"","、")</f>
        <v/>
      </c>
      <c r="O16" s="2310" t="str">
        <f>IF(F17="","",F16&amp;TEXT(F17,"yyyy年m月d日;;"))</f>
        <v/>
      </c>
      <c r="P16" s="1619" t="str">
        <f>IF(OR(O16="",Q16=""),"","、")</f>
        <v/>
      </c>
      <c r="Q16" s="2310" t="str">
        <f>IF(G17="","",G16&amp;TEXT(G17,"yyyy年m月d日;;"))</f>
        <v>地下车库2071年2月19日</v>
      </c>
      <c r="R16" s="1619" t="str">
        <f>IF(OR(Q16="",S16=""),"","、")</f>
        <v/>
      </c>
      <c r="S16" s="2310" t="str">
        <f>IF(H17="","",H16&amp;TEXT(H17,"yyyy年m月d日;;"))</f>
        <v/>
      </c>
      <c r="T16" s="1619" t="str">
        <f>IF(OR(S16="",U16=""),"","、")</f>
        <v/>
      </c>
      <c r="U16" s="2310" t="str">
        <f>IF(I17="","",I16&amp;TEXT(I17,"yyyy年m月d日;;"))</f>
        <v/>
      </c>
    </row>
    <row r="17" spans="1:21">
      <c r="A17" s="1679"/>
      <c r="B17" s="1606"/>
      <c r="C17" s="3001" t="s">
        <v>1943</v>
      </c>
      <c r="D17" s="1620"/>
      <c r="E17" s="1620">
        <v>58856</v>
      </c>
      <c r="F17" s="1620"/>
      <c r="G17" s="1620">
        <v>62508</v>
      </c>
      <c r="H17" s="1620"/>
      <c r="I17" s="1620"/>
      <c r="J17" s="3072"/>
      <c r="K17" s="3050" t="str">
        <f>CONCATENATE(K16,L16,M16,N16,O16,P16,Q16,R16,S16,T16,,U16)</f>
        <v>商业2061年2月19日地下车库2071年2月19日</v>
      </c>
      <c r="L17" s="3051"/>
      <c r="M17" s="3051"/>
      <c r="N17" s="3052"/>
      <c r="O17" s="3053"/>
      <c r="P17" s="3052"/>
      <c r="Q17" s="3052"/>
      <c r="R17" s="3052"/>
      <c r="S17" s="3052"/>
      <c r="T17" s="3052"/>
      <c r="U17" s="3052"/>
    </row>
    <row r="18" spans="1:21">
      <c r="A18" s="1679"/>
      <c r="B18" s="1606"/>
      <c r="C18" s="3001" t="s">
        <v>1944</v>
      </c>
      <c r="D18" s="1607"/>
      <c r="E18" s="1607">
        <v>40</v>
      </c>
      <c r="F18" s="1607"/>
      <c r="G18" s="1607">
        <v>50</v>
      </c>
      <c r="H18" s="1607"/>
      <c r="I18" s="1607"/>
      <c r="J18" s="3072"/>
      <c r="K18" s="3055"/>
      <c r="L18" s="3051"/>
      <c r="M18" s="3051"/>
      <c r="N18" s="3052"/>
      <c r="O18" s="3053"/>
      <c r="P18" s="3052"/>
      <c r="Q18" s="3052"/>
      <c r="R18" s="3052"/>
      <c r="S18" s="3052"/>
      <c r="T18" s="3052"/>
      <c r="U18" s="3052"/>
    </row>
    <row r="19" spans="1:21">
      <c r="A19" s="1679"/>
      <c r="B19" s="1606"/>
      <c r="C19" s="1586" t="s">
        <v>1945</v>
      </c>
      <c r="D19" s="1674" t="str">
        <f>IF(B16="出让",IF(D17="","",ROUNDDOWN(MIN((D17-$D$3)/365,D18),2)),D18)</f>
        <v/>
      </c>
      <c r="E19" s="1608">
        <f>IF(B16="出让",IF(E17="","",ROUNDDOWN(MIN((E17-$D$3)/365,E18),2)),E18)</f>
        <v>39.47</v>
      </c>
      <c r="F19" s="1608" t="str">
        <f>IF(B16="出让",IF(F17="","",ROUNDDOWN(MIN((F17-$D$3)/365,F18),2)),F18)</f>
        <v/>
      </c>
      <c r="G19" s="1608">
        <f>IF(B16="出让",IF(G17="","",ROUNDDOWN(MIN((G17-$D$3)/365,G18),2)),G18)</f>
        <v>49.47</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2048</v>
      </c>
      <c r="D20" s="3345"/>
      <c r="E20" s="3346"/>
      <c r="F20" s="3346"/>
      <c r="G20" s="3346"/>
      <c r="H20" s="3346"/>
      <c r="I20" s="3347"/>
      <c r="J20" s="3072"/>
      <c r="K20" s="3055"/>
      <c r="L20" s="3051"/>
      <c r="M20" s="3051"/>
      <c r="N20" s="3052"/>
      <c r="O20" s="3053"/>
      <c r="P20" s="3052"/>
      <c r="Q20" s="3052"/>
      <c r="R20" s="3052"/>
      <c r="S20" s="3052"/>
      <c r="T20" s="3052"/>
      <c r="U20" s="3052"/>
    </row>
    <row r="21" spans="1:21">
      <c r="A21" s="1679" t="s">
        <v>1946</v>
      </c>
      <c r="B21" s="1680" t="s">
        <v>1947</v>
      </c>
      <c r="C21" s="1675">
        <f>'数据-汇总表'!E3</f>
        <v>68200</v>
      </c>
      <c r="D21" s="1676" t="s">
        <v>1948</v>
      </c>
      <c r="E21" s="3335" t="s">
        <v>1986</v>
      </c>
      <c r="F21" s="3336"/>
      <c r="G21" s="3336"/>
      <c r="H21" s="3336"/>
      <c r="I21" s="3337"/>
      <c r="J21" s="3072"/>
      <c r="K21" s="3055"/>
      <c r="L21" s="3051"/>
      <c r="M21" s="3051"/>
      <c r="N21" s="3052"/>
      <c r="O21" s="3053"/>
      <c r="P21" s="3052"/>
      <c r="Q21" s="3052"/>
      <c r="R21" s="3052"/>
      <c r="S21" s="3052"/>
      <c r="T21" s="3052"/>
      <c r="U21" s="3052"/>
    </row>
    <row r="22" spans="1:21">
      <c r="A22" s="2800" t="s">
        <v>942</v>
      </c>
      <c r="B22" s="1587" t="s">
        <v>1949</v>
      </c>
      <c r="C22" s="1609">
        <f>'数据-汇总表'!D3</f>
        <v>17997.97</v>
      </c>
      <c r="D22" s="1610" t="s">
        <v>1948</v>
      </c>
      <c r="E22" s="3335" t="s">
        <v>2868</v>
      </c>
      <c r="F22" s="3336"/>
      <c r="G22" s="3336"/>
      <c r="H22" s="3336"/>
      <c r="I22" s="3337"/>
      <c r="J22" s="3072"/>
      <c r="K22" s="3055"/>
      <c r="L22" s="3051"/>
      <c r="M22" s="3051"/>
      <c r="N22" s="3052"/>
      <c r="O22" s="3053"/>
      <c r="P22" s="3052"/>
      <c r="Q22" s="3052"/>
      <c r="R22" s="3052"/>
      <c r="S22" s="3052"/>
      <c r="T22" s="3052"/>
      <c r="U22" s="3052"/>
    </row>
    <row r="23" spans="1:21" ht="43.5" thickBot="1">
      <c r="A23" s="1681" t="s">
        <v>1950</v>
      </c>
      <c r="B23" s="1621" t="s">
        <v>1951</v>
      </c>
      <c r="C23" s="1622"/>
      <c r="D23" s="1623" t="s">
        <v>1952</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1953</v>
      </c>
      <c r="B24" s="3338" t="s">
        <v>1954</v>
      </c>
      <c r="C24" s="3339"/>
      <c r="D24" s="3340" t="s">
        <v>1955</v>
      </c>
      <c r="E24" s="3341"/>
      <c r="F24" s="1628" t="s">
        <v>1956</v>
      </c>
      <c r="G24" s="3072"/>
      <c r="H24" s="3072"/>
      <c r="I24" s="3076"/>
      <c r="J24" s="3072"/>
      <c r="K24" s="3326"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1958</v>
      </c>
      <c r="D25" s="1630"/>
      <c r="E25" s="1631" t="s">
        <v>942</v>
      </c>
      <c r="F25" s="1632"/>
      <c r="G25" s="3072"/>
      <c r="H25" s="3072"/>
      <c r="I25" s="3076"/>
      <c r="J25" s="3072"/>
      <c r="K25" s="332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32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2"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3"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3"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4" t="s">
        <v>1964</v>
      </c>
      <c r="E30" s="1638"/>
      <c r="F30" s="3080"/>
      <c r="G30" s="3077"/>
      <c r="H30" s="3077"/>
      <c r="I30" s="3078"/>
      <c r="J30" s="3072"/>
      <c r="K30" s="3055"/>
      <c r="L30" s="3051"/>
      <c r="M30" s="3051"/>
      <c r="N30" s="3052"/>
      <c r="O30" s="3053"/>
      <c r="P30" s="3052"/>
      <c r="Q30" s="3052"/>
      <c r="R30" s="3052"/>
      <c r="S30" s="3052"/>
      <c r="T30" s="3052"/>
      <c r="U30" s="3052"/>
    </row>
    <row r="31" spans="1:21" ht="15" thickTop="1">
      <c r="A31" s="3353" t="s">
        <v>1989</v>
      </c>
      <c r="B31" s="1680" t="s">
        <v>1990</v>
      </c>
      <c r="C31" s="3351"/>
      <c r="D31" s="3352"/>
      <c r="E31" s="3072"/>
      <c r="F31" s="3072"/>
      <c r="G31" s="3072"/>
      <c r="H31" s="3072"/>
      <c r="I31" s="3076"/>
      <c r="J31" s="3072"/>
      <c r="K31" s="3058"/>
      <c r="L31" s="3052"/>
      <c r="M31" s="3052"/>
      <c r="N31" s="3052"/>
      <c r="O31" s="3052"/>
      <c r="P31" s="3052"/>
      <c r="Q31" s="3052"/>
      <c r="R31" s="3052"/>
      <c r="S31" s="3052"/>
      <c r="T31" s="3052"/>
      <c r="U31" s="3052"/>
    </row>
    <row r="32" spans="1:21">
      <c r="A32" s="3353"/>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53"/>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54"/>
      <c r="B34" s="1587" t="s">
        <v>1993</v>
      </c>
      <c r="C34" s="3355"/>
      <c r="D34" s="3356"/>
      <c r="E34" s="3072"/>
      <c r="F34" s="3072"/>
      <c r="G34" s="3072"/>
      <c r="H34" s="3072"/>
      <c r="I34" s="3076"/>
      <c r="J34" s="3072"/>
      <c r="K34" s="3058"/>
      <c r="L34" s="3052"/>
      <c r="M34" s="3052"/>
      <c r="N34" s="3052"/>
      <c r="O34" s="3052"/>
      <c r="P34" s="3052"/>
      <c r="Q34" s="3052"/>
      <c r="R34" s="3052"/>
      <c r="S34" s="3052"/>
      <c r="T34" s="3052"/>
      <c r="U34" s="3052"/>
    </row>
    <row r="35" spans="1:28">
      <c r="A35" s="3357" t="s">
        <v>838</v>
      </c>
      <c r="B35" s="1642"/>
      <c r="C35" s="1689" t="str">
        <f>IF(B35="场地平整","——","具体情况：")</f>
        <v>具体情况：</v>
      </c>
      <c r="D35" s="3359"/>
      <c r="E35" s="3360"/>
      <c r="F35" s="3360"/>
      <c r="G35" s="3360"/>
      <c r="H35" s="3360"/>
      <c r="I35" s="3361"/>
      <c r="J35" s="3072"/>
      <c r="K35" s="3059"/>
      <c r="L35" s="3051"/>
      <c r="M35" s="3051"/>
      <c r="N35" s="3052"/>
      <c r="O35" s="3053"/>
      <c r="P35" s="3052"/>
      <c r="Q35" s="3052"/>
      <c r="R35" s="3052"/>
      <c r="S35" s="3052"/>
      <c r="T35" s="3052"/>
      <c r="U35" s="3052"/>
    </row>
    <row r="36" spans="1:28">
      <c r="A36" s="3353"/>
      <c r="B36" s="3362" t="s">
        <v>2042</v>
      </c>
      <c r="C36" s="3363"/>
      <c r="D36" s="1705"/>
      <c r="E36" s="3364"/>
      <c r="F36" s="3364"/>
      <c r="G36" s="1610" t="str">
        <f>IF(B35="场地未平整","估价结果处理","")</f>
        <v/>
      </c>
      <c r="H36" s="3365"/>
      <c r="I36" s="3365"/>
      <c r="J36" s="3072"/>
      <c r="K36" s="3059"/>
      <c r="L36" s="3051"/>
      <c r="M36" s="3051"/>
      <c r="N36" s="3052"/>
      <c r="O36" s="3053"/>
      <c r="P36" s="3052"/>
      <c r="Q36" s="3052"/>
      <c r="R36" s="3052"/>
      <c r="S36" s="3052"/>
      <c r="T36" s="3052"/>
      <c r="U36" s="3052"/>
    </row>
    <row r="37" spans="1:28" ht="28.5">
      <c r="A37" s="3353"/>
      <c r="B37" s="3342" t="s">
        <v>839</v>
      </c>
      <c r="C37" s="1644" t="s">
        <v>840</v>
      </c>
      <c r="D37" s="1645"/>
      <c r="E37" s="1646"/>
      <c r="F37" s="3072"/>
      <c r="G37" s="3072"/>
      <c r="H37" s="3072"/>
      <c r="I37" s="3076"/>
      <c r="J37" s="3072"/>
      <c r="K37" s="3059"/>
      <c r="L37" s="3052"/>
      <c r="M37" s="3052"/>
      <c r="N37" s="3052"/>
      <c r="O37" s="3052"/>
      <c r="P37" s="3052"/>
      <c r="Q37" s="3052"/>
      <c r="R37" s="3052"/>
      <c r="S37" s="3052"/>
      <c r="T37" s="3052"/>
      <c r="U37" s="3052"/>
    </row>
    <row r="38" spans="1:28">
      <c r="A38" s="3353"/>
      <c r="B38" s="3343"/>
      <c r="C38" s="1595" t="s">
        <v>841</v>
      </c>
      <c r="D38" s="1704">
        <f>ROUNDDOWN(MIN(('数据-取费表'!$B$2-D37)/365,D34),1)</f>
        <v>121.7</v>
      </c>
      <c r="E38" s="1647" t="s">
        <v>842</v>
      </c>
      <c r="F38" s="3072"/>
      <c r="G38" s="3072"/>
      <c r="H38" s="3072"/>
      <c r="I38" s="3076"/>
      <c r="J38" s="3072"/>
      <c r="K38" s="3059"/>
      <c r="L38" s="3052"/>
      <c r="M38" s="3052"/>
      <c r="N38" s="3052"/>
      <c r="O38" s="3052"/>
      <c r="P38" s="3052"/>
      <c r="Q38" s="3052"/>
      <c r="R38" s="3052"/>
      <c r="S38" s="3052"/>
      <c r="T38" s="3052"/>
      <c r="U38" s="3052"/>
    </row>
    <row r="39" spans="1:28">
      <c r="A39" s="3354"/>
      <c r="B39" s="3344"/>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t="s">
        <v>3237</v>
      </c>
      <c r="C40" s="1611" t="s">
        <v>3238</v>
      </c>
      <c r="D40" s="1611" t="s">
        <v>3239</v>
      </c>
      <c r="E40" s="1611" t="s">
        <v>3240</v>
      </c>
      <c r="F40" s="1611" t="s">
        <v>3241</v>
      </c>
      <c r="G40" s="1611" t="s">
        <v>3242</v>
      </c>
      <c r="H40" s="1611" t="s">
        <v>3269</v>
      </c>
      <c r="I40" s="3076"/>
      <c r="J40" s="3072"/>
      <c r="K40" s="3020">
        <f>COUNTIF(B40:H40,"——")</f>
        <v>0</v>
      </c>
      <c r="L40" s="1619" t="s">
        <v>1966</v>
      </c>
      <c r="M40" s="1616" t="s">
        <v>1967</v>
      </c>
      <c r="N40" s="1616" t="s">
        <v>1968</v>
      </c>
      <c r="O40" s="1616" t="s">
        <v>1969</v>
      </c>
      <c r="P40" s="1616" t="s">
        <v>1970</v>
      </c>
      <c r="Q40" s="1616" t="s">
        <v>1971</v>
      </c>
      <c r="R40" s="1616" t="s">
        <v>1972</v>
      </c>
      <c r="S40" s="3325" t="s">
        <v>1973</v>
      </c>
      <c r="T40" s="1651" t="str">
        <f>NUMBERSTRING(7-K40,1)&amp;"通"</f>
        <v>七通</v>
      </c>
      <c r="U40" s="3052"/>
    </row>
    <row r="41" spans="1:28">
      <c r="A41" s="1589"/>
      <c r="B41" s="3358" t="s">
        <v>1711</v>
      </c>
      <c r="C41" s="3358"/>
      <c r="D41" s="3358"/>
      <c r="E41" s="3358"/>
      <c r="F41" s="1652">
        <f>C10</f>
        <v>0</v>
      </c>
      <c r="G41" s="3072"/>
      <c r="H41" s="3072"/>
      <c r="I41" s="3076"/>
      <c r="J41" s="3072"/>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325"/>
      <c r="T41" s="1653" t="str">
        <f>IF(T40="一通",L41,IF(T40="二通",M41,IF(T40="三通",N41,IF(T40="四通",O41,IF(T40="五通",P41,IF(T40="六通",Q41,R41))))))</f>
        <v>通路、通电、通讯、通上水、通下水、通热、燃气</v>
      </c>
      <c r="U41" s="3052"/>
    </row>
    <row r="42" spans="1:28">
      <c r="A42" s="1655"/>
      <c r="B42" s="1682" t="s">
        <v>1887</v>
      </c>
      <c r="C42" s="1682" t="s">
        <v>1888</v>
      </c>
      <c r="D42" s="1682" t="s">
        <v>1889</v>
      </c>
      <c r="E42" s="1619" t="s">
        <v>1890</v>
      </c>
      <c r="F42" s="1656"/>
      <c r="G42" s="3072"/>
      <c r="H42" s="3072"/>
      <c r="I42" s="3076"/>
      <c r="J42" s="3072"/>
      <c r="K42" s="3055"/>
      <c r="L42" s="3051"/>
      <c r="M42" s="3051"/>
      <c r="N42" s="3052"/>
      <c r="O42" s="3053"/>
      <c r="P42" s="3052"/>
      <c r="Q42" s="3052"/>
      <c r="R42" s="3052"/>
      <c r="S42" s="3052"/>
      <c r="T42" s="3052"/>
      <c r="U42" s="3052"/>
    </row>
    <row r="43" spans="1:28">
      <c r="A43" s="3023" t="s">
        <v>1696</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1697</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2869</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X50" sqref="X50"/>
      <selection pane="topRight" activeCell="X50" sqref="X50"/>
      <selection pane="bottomLeft" activeCell="X50" sqref="X50"/>
      <selection pane="bottomRight" activeCell="X50" sqref="X5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166</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17997.97</v>
      </c>
      <c r="B3" s="22">
        <f>IF(C3="否",G5-AT5,G5)</f>
        <v>68200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167</v>
      </c>
      <c r="B5" s="977"/>
      <c r="C5" s="977"/>
      <c r="D5" s="984"/>
      <c r="E5" s="27" t="s">
        <v>1</v>
      </c>
      <c r="F5" s="27">
        <f>SUM(F13:F572)</f>
        <v>0</v>
      </c>
      <c r="G5" s="27">
        <f>SUM(G13:G572)</f>
        <v>68200</v>
      </c>
      <c r="H5" s="27">
        <f t="shared" ref="H5:AT5" si="0">SUM(H13:H641)</f>
        <v>68200</v>
      </c>
      <c r="I5" s="27">
        <f t="shared" si="0"/>
        <v>15600</v>
      </c>
      <c r="J5" s="27">
        <f t="shared" si="0"/>
        <v>0</v>
      </c>
      <c r="K5" s="27">
        <f t="shared" si="0"/>
        <v>8100</v>
      </c>
      <c r="L5" s="27">
        <f t="shared" si="0"/>
        <v>0</v>
      </c>
      <c r="M5" s="27">
        <f t="shared" si="0"/>
        <v>13500</v>
      </c>
      <c r="N5" s="27">
        <f t="shared" si="0"/>
        <v>0</v>
      </c>
      <c r="O5" s="27">
        <f t="shared" si="0"/>
        <v>31000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167</v>
      </c>
      <c r="AW5" s="977"/>
      <c r="AX5" s="977"/>
      <c r="AY5" s="28" t="s">
        <v>3</v>
      </c>
      <c r="AZ5" s="29">
        <f t="shared" ref="AZ5:BT5" si="1">SUM(AZ13:AZ641)</f>
        <v>68200</v>
      </c>
      <c r="BA5" s="29">
        <f t="shared" si="1"/>
        <v>68200</v>
      </c>
      <c r="BB5" s="29">
        <f t="shared" si="1"/>
        <v>15600</v>
      </c>
      <c r="BC5" s="29">
        <f t="shared" si="1"/>
        <v>8100</v>
      </c>
      <c r="BD5" s="29">
        <f t="shared" si="1"/>
        <v>13500</v>
      </c>
      <c r="BE5" s="29">
        <f t="shared" si="1"/>
        <v>31000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17997.98</v>
      </c>
      <c r="F6" s="27" t="s">
        <v>1</v>
      </c>
      <c r="G6" s="27" t="s">
        <v>2</v>
      </c>
      <c r="H6" s="33">
        <f>SUMIF(I$12:AB$12,"总值",I6:AB6)</f>
        <v>17997.98</v>
      </c>
      <c r="I6" s="27">
        <f t="shared" ref="I6:AB6" si="2">ROUND($A$3*I5/$B$3,2)</f>
        <v>4116.84</v>
      </c>
      <c r="J6" s="27">
        <f t="shared" si="2"/>
        <v>0</v>
      </c>
      <c r="K6" s="27">
        <f t="shared" si="2"/>
        <v>2137.59</v>
      </c>
      <c r="L6" s="27">
        <f t="shared" si="2"/>
        <v>0</v>
      </c>
      <c r="M6" s="27">
        <f t="shared" si="2"/>
        <v>3562.65</v>
      </c>
      <c r="N6" s="27">
        <f t="shared" si="2"/>
        <v>0</v>
      </c>
      <c r="O6" s="27">
        <f t="shared" si="2"/>
        <v>8180.9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17997.97</v>
      </c>
      <c r="AZ6" s="27" t="s">
        <v>3</v>
      </c>
      <c r="BA6" s="27">
        <f>ROUND($AY$6*BA5/$AZ$5,2)</f>
        <v>17997.97</v>
      </c>
      <c r="BB6" s="27">
        <f>ROUND($AY$6*BB5/$AZ$5,2)</f>
        <v>4116.84</v>
      </c>
      <c r="BC6" s="27">
        <f t="shared" ref="BC6:BH6" si="4">ROUND($AY$6*BC5/$AZ$5,2)</f>
        <v>2137.59</v>
      </c>
      <c r="BD6" s="27">
        <f t="shared" si="4"/>
        <v>3562.65</v>
      </c>
      <c r="BE6" s="27">
        <f t="shared" si="4"/>
        <v>8180.9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176</v>
      </c>
      <c r="AV7" s="41" t="s">
        <v>177</v>
      </c>
      <c r="AW7" s="42" t="s">
        <v>178</v>
      </c>
      <c r="AX7" s="41" t="s">
        <v>179</v>
      </c>
      <c r="AY7" s="97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9"/>
      <c r="K8" s="989"/>
      <c r="L8" s="989"/>
      <c r="M8" s="989"/>
      <c r="N8" s="989"/>
      <c r="O8" s="989"/>
      <c r="P8" s="989"/>
      <c r="Q8" s="989"/>
      <c r="R8" s="989"/>
      <c r="S8" s="989"/>
      <c r="T8" s="989"/>
      <c r="U8" s="989"/>
      <c r="V8" s="49"/>
      <c r="W8" s="989"/>
      <c r="X8" s="989"/>
      <c r="Y8" s="989"/>
      <c r="Z8" s="989"/>
      <c r="AA8" s="49"/>
      <c r="AB8" s="50"/>
      <c r="AC8" s="51" t="s">
        <v>183</v>
      </c>
      <c r="AD8" s="52"/>
      <c r="AE8" s="43"/>
      <c r="AF8" s="989"/>
      <c r="AG8" s="989"/>
      <c r="AH8" s="989"/>
      <c r="AI8" s="989"/>
      <c r="AJ8" s="989"/>
      <c r="AK8" s="989"/>
      <c r="AL8" s="989"/>
      <c r="AM8" s="989"/>
      <c r="AN8" s="989"/>
      <c r="AO8" s="989"/>
      <c r="AP8" s="989"/>
      <c r="AQ8" s="989"/>
      <c r="AR8" s="989"/>
      <c r="AS8" s="2176"/>
      <c r="AT8" s="2207" t="s">
        <v>846</v>
      </c>
      <c r="AU8" s="45" t="s">
        <v>184</v>
      </c>
      <c r="AV8" s="55"/>
      <c r="AW8" s="991"/>
      <c r="AX8" s="55"/>
      <c r="AY8" s="42" t="s">
        <v>185</v>
      </c>
      <c r="AZ8" s="988" t="s">
        <v>186</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187</v>
      </c>
      <c r="I9" s="2730" t="s">
        <v>3236</v>
      </c>
      <c r="J9" s="51"/>
      <c r="K9" s="2730" t="s">
        <v>3236</v>
      </c>
      <c r="L9" s="51"/>
      <c r="M9" s="2730" t="s">
        <v>3236</v>
      </c>
      <c r="N9" s="51"/>
      <c r="O9" s="59" t="s">
        <v>3245</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0" t="s">
        <v>190</v>
      </c>
      <c r="AQ9" s="1172"/>
      <c r="AR9" s="1170" t="s">
        <v>191</v>
      </c>
      <c r="AS9" s="2208"/>
      <c r="AT9" s="45"/>
      <c r="AU9" s="45" t="s">
        <v>193</v>
      </c>
      <c r="AV9" s="55"/>
      <c r="AW9" s="991"/>
      <c r="AX9" s="55"/>
      <c r="AY9" s="62"/>
      <c r="AZ9" s="62" t="s">
        <v>194</v>
      </c>
      <c r="BA9" s="63" t="s">
        <v>195</v>
      </c>
      <c r="BB9" s="64"/>
      <c r="BC9" s="983"/>
      <c r="BD9" s="983"/>
      <c r="BE9" s="983"/>
      <c r="BF9" s="983"/>
      <c r="BG9" s="983"/>
      <c r="BH9" s="983"/>
      <c r="BI9" s="983"/>
      <c r="BJ9" s="983"/>
      <c r="BK9" s="65"/>
      <c r="BL9" s="26" t="s">
        <v>196</v>
      </c>
      <c r="BM9" s="989"/>
      <c r="BN9" s="48"/>
      <c r="BO9" s="989"/>
      <c r="BP9" s="989"/>
      <c r="BQ9" s="989"/>
      <c r="BR9" s="989"/>
      <c r="BS9" s="989"/>
      <c r="BT9" s="56"/>
    </row>
    <row r="10" spans="1:72" s="57" customFormat="1" ht="12.75">
      <c r="A10" s="45"/>
      <c r="B10" s="45"/>
      <c r="C10" s="45"/>
      <c r="D10" s="45"/>
      <c r="E10" s="45"/>
      <c r="F10" s="45"/>
      <c r="G10" s="55"/>
      <c r="H10" s="62"/>
      <c r="I10" s="2730" t="s">
        <v>3232</v>
      </c>
      <c r="J10" s="51"/>
      <c r="K10" s="2732" t="s">
        <v>3232</v>
      </c>
      <c r="L10" s="51"/>
      <c r="M10" s="2732" t="s">
        <v>3232</v>
      </c>
      <c r="N10" s="51"/>
      <c r="O10" s="66" t="s">
        <v>3243</v>
      </c>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197</v>
      </c>
      <c r="AO10" s="61"/>
      <c r="AP10" s="1170" t="s">
        <v>198</v>
      </c>
      <c r="AQ10" s="1172"/>
      <c r="AR10" s="1170" t="s">
        <v>198</v>
      </c>
      <c r="AS10" s="1172"/>
      <c r="AT10" s="45"/>
      <c r="AU10" s="45"/>
      <c r="AV10" s="55"/>
      <c r="AW10" s="991"/>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t="s">
        <v>3230</v>
      </c>
      <c r="J11" s="71"/>
      <c r="K11" s="2731" t="s">
        <v>3244</v>
      </c>
      <c r="L11" s="71"/>
      <c r="M11" s="70" t="s">
        <v>3234</v>
      </c>
      <c r="N11" s="71"/>
      <c r="O11" s="70" t="s">
        <v>3243</v>
      </c>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6" t="s">
        <v>200</v>
      </c>
      <c r="W12" s="17" t="s">
        <v>199</v>
      </c>
      <c r="X12" s="17" t="s">
        <v>200</v>
      </c>
      <c r="Y12" s="17" t="s">
        <v>199</v>
      </c>
      <c r="Z12" s="17" t="s">
        <v>200</v>
      </c>
      <c r="AA12" s="17" t="s">
        <v>199</v>
      </c>
      <c r="AB12" s="17" t="s">
        <v>200</v>
      </c>
      <c r="AC12" s="75"/>
      <c r="AD12" s="984" t="s">
        <v>199</v>
      </c>
      <c r="AE12" s="17" t="s">
        <v>200</v>
      </c>
      <c r="AF12" s="17" t="s">
        <v>199</v>
      </c>
      <c r="AG12" s="17" t="s">
        <v>200</v>
      </c>
      <c r="AH12" s="17" t="s">
        <v>199</v>
      </c>
      <c r="AI12" s="17" t="s">
        <v>200</v>
      </c>
      <c r="AJ12" s="17" t="s">
        <v>199</v>
      </c>
      <c r="AK12" s="17" t="s">
        <v>200</v>
      </c>
      <c r="AL12" s="17" t="s">
        <v>199</v>
      </c>
      <c r="AM12" s="17" t="s">
        <v>200</v>
      </c>
      <c r="AN12" s="17" t="s">
        <v>199</v>
      </c>
      <c r="AO12" s="17" t="s">
        <v>200</v>
      </c>
      <c r="AP12" s="1169" t="s">
        <v>199</v>
      </c>
      <c r="AQ12" s="1169" t="s">
        <v>200</v>
      </c>
      <c r="AR12" s="1175" t="s">
        <v>199</v>
      </c>
      <c r="AS12" s="1174" t="s">
        <v>200</v>
      </c>
      <c r="AT12" s="76"/>
      <c r="AU12" s="72"/>
      <c r="AV12" s="77"/>
      <c r="AW12" s="42"/>
      <c r="AX12" s="77"/>
      <c r="AY12" s="78"/>
      <c r="AZ12" s="62"/>
      <c r="BA12" s="67"/>
      <c r="BB12" s="53" t="str">
        <f>I11</f>
        <v>公寓</v>
      </c>
      <c r="BC12" s="79" t="str">
        <f>K11</f>
        <v>底商</v>
      </c>
      <c r="BD12" s="79" t="str">
        <f>M11</f>
        <v>酒店</v>
      </c>
      <c r="BE12" s="50" t="str">
        <f>O11</f>
        <v>车库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t="s">
        <v>3231</v>
      </c>
      <c r="D13" s="2726" t="s">
        <v>1668</v>
      </c>
      <c r="E13" s="27">
        <f t="shared" ref="E13:E20" si="6">IF($C$3="是",ROUND($A$3*G13/$B$3,2),ROUND($A$3*(G13-AT13)/$B$3,2))</f>
        <v>4116.84</v>
      </c>
      <c r="F13" s="81"/>
      <c r="G13" s="82">
        <f t="shared" ref="G13:G20" si="7">H13+AC13+AT13</f>
        <v>15600</v>
      </c>
      <c r="H13" s="33">
        <f t="shared" ref="H13:H20" si="8">SUMIF(I$12:AB$12,"总值",I13:AB13)</f>
        <v>15600</v>
      </c>
      <c r="I13" s="2729">
        <v>15600</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t="str">
        <f t="shared" si="10"/>
        <v>公寓</v>
      </c>
      <c r="AY13" s="984">
        <f t="shared" ref="AY13:AY20" si="11">ROUND($AY$6*AZ13/$AZ$5,2)</f>
        <v>4116.84</v>
      </c>
      <c r="AZ13" s="27">
        <f t="shared" ref="AZ13:AZ20" si="12">BA13+BL13</f>
        <v>15600</v>
      </c>
      <c r="BA13" s="27">
        <f t="shared" ref="BA13:BA20" si="13">SUM(BB13:BK13)</f>
        <v>15600</v>
      </c>
      <c r="BB13" s="27">
        <f t="shared" ref="BB13:BB20" si="14">IF($D13="是",I13-J13,0)</f>
        <v>15600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t="s">
        <v>3233</v>
      </c>
      <c r="D14" s="2726" t="s">
        <v>1668</v>
      </c>
      <c r="E14" s="27">
        <f t="shared" si="6"/>
        <v>2137.59</v>
      </c>
      <c r="F14" s="81"/>
      <c r="G14" s="82">
        <f t="shared" si="7"/>
        <v>8100</v>
      </c>
      <c r="H14" s="33">
        <f t="shared" si="8"/>
        <v>8100</v>
      </c>
      <c r="I14" s="2729"/>
      <c r="J14" s="2729"/>
      <c r="K14" s="2729">
        <v>8100</v>
      </c>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t="str">
        <f t="shared" si="10"/>
        <v>商业</v>
      </c>
      <c r="AY14" s="984">
        <f t="shared" si="11"/>
        <v>2137.59</v>
      </c>
      <c r="AZ14" s="27">
        <f t="shared" si="12"/>
        <v>8100</v>
      </c>
      <c r="BA14" s="27">
        <f t="shared" si="13"/>
        <v>8100</v>
      </c>
      <c r="BB14" s="27">
        <f t="shared" si="14"/>
        <v>0</v>
      </c>
      <c r="BC14" s="27">
        <f t="shared" si="15"/>
        <v>8100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t="s">
        <v>3235</v>
      </c>
      <c r="D15" s="2726" t="s">
        <v>1668</v>
      </c>
      <c r="E15" s="27">
        <f t="shared" si="6"/>
        <v>3562.65</v>
      </c>
      <c r="F15" s="81"/>
      <c r="G15" s="82">
        <f t="shared" si="7"/>
        <v>13500</v>
      </c>
      <c r="H15" s="33">
        <f t="shared" si="8"/>
        <v>13500</v>
      </c>
      <c r="I15" s="2729"/>
      <c r="J15" s="2729"/>
      <c r="K15" s="2729"/>
      <c r="L15" s="2729"/>
      <c r="M15" s="2729">
        <v>13500</v>
      </c>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t="str">
        <f t="shared" si="10"/>
        <v>酒店</v>
      </c>
      <c r="AY15" s="984">
        <f t="shared" si="11"/>
        <v>3562.65</v>
      </c>
      <c r="AZ15" s="27">
        <f t="shared" si="12"/>
        <v>13500</v>
      </c>
      <c r="BA15" s="27">
        <f t="shared" si="13"/>
        <v>13500</v>
      </c>
      <c r="BB15" s="27">
        <f t="shared" si="14"/>
        <v>0</v>
      </c>
      <c r="BC15" s="27">
        <f t="shared" si="15"/>
        <v>0</v>
      </c>
      <c r="BD15" s="27">
        <f t="shared" si="16"/>
        <v>13500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v>31000</v>
      </c>
      <c r="C16" s="2727" t="s">
        <v>3267</v>
      </c>
      <c r="D16" s="2726" t="s">
        <v>1668</v>
      </c>
      <c r="E16" s="27">
        <f t="shared" si="6"/>
        <v>8180.9</v>
      </c>
      <c r="F16" s="81"/>
      <c r="G16" s="82">
        <f t="shared" si="7"/>
        <v>31000</v>
      </c>
      <c r="H16" s="33">
        <f t="shared" si="8"/>
        <v>31000</v>
      </c>
      <c r="I16" s="2729"/>
      <c r="J16" s="2729"/>
      <c r="K16" s="2729"/>
      <c r="L16" s="2729"/>
      <c r="M16" s="2729"/>
      <c r="N16" s="83"/>
      <c r="O16" s="83">
        <f>B16-AT16</f>
        <v>31000</v>
      </c>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31000</v>
      </c>
      <c r="AX16" s="17" t="str">
        <f t="shared" si="10"/>
        <v>车库及人防</v>
      </c>
      <c r="AY16" s="984">
        <f t="shared" si="11"/>
        <v>8180.9</v>
      </c>
      <c r="AZ16" s="27">
        <f t="shared" si="12"/>
        <v>31000</v>
      </c>
      <c r="BA16" s="27">
        <f t="shared" si="13"/>
        <v>31000</v>
      </c>
      <c r="BB16" s="27">
        <f t="shared" si="14"/>
        <v>0</v>
      </c>
      <c r="BC16" s="27">
        <f t="shared" si="15"/>
        <v>0</v>
      </c>
      <c r="BD16" s="27">
        <f t="shared" si="16"/>
        <v>0</v>
      </c>
      <c r="BE16" s="27">
        <f t="shared" si="17"/>
        <v>31000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6" t="s">
        <v>0</v>
      </c>
      <c r="B1" s="3366" t="s">
        <v>4</v>
      </c>
      <c r="C1" s="3366" t="s">
        <v>5</v>
      </c>
      <c r="D1" s="3367" t="s">
        <v>40</v>
      </c>
      <c r="E1" s="3367" t="s">
        <v>41</v>
      </c>
      <c r="F1" s="3367"/>
      <c r="G1" s="3367"/>
      <c r="H1" s="3367"/>
      <c r="I1" s="3367"/>
      <c r="J1" s="3367"/>
      <c r="K1" s="3367"/>
      <c r="L1" s="3367"/>
      <c r="M1" s="3367"/>
    </row>
    <row r="2" spans="1:13" ht="27" customHeight="1">
      <c r="A2" s="3366"/>
      <c r="B2" s="3366"/>
      <c r="C2" s="3366"/>
      <c r="D2" s="3367"/>
      <c r="E2" s="3367" t="s">
        <v>24</v>
      </c>
      <c r="F2" s="3367" t="s">
        <v>25</v>
      </c>
      <c r="G2" s="3367"/>
      <c r="H2" s="3367"/>
      <c r="I2" s="3367"/>
      <c r="J2" s="3367" t="s">
        <v>26</v>
      </c>
      <c r="K2" s="3367"/>
      <c r="L2" s="3367"/>
      <c r="M2" s="3367"/>
    </row>
    <row r="3" spans="1:13" ht="28.5">
      <c r="A3" s="3366"/>
      <c r="B3" s="3366"/>
      <c r="C3" s="3366"/>
      <c r="D3" s="3367"/>
      <c r="E3" s="33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7" t="s">
        <v>42</v>
      </c>
      <c r="B9" s="3367"/>
      <c r="C9" s="33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H36" sqref="H36"/>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201</v>
      </c>
      <c r="B1" s="1897"/>
      <c r="C1" s="1897"/>
      <c r="D1" s="1897"/>
      <c r="E1" s="1897"/>
      <c r="F1" s="1897"/>
      <c r="G1" s="1897"/>
      <c r="H1" s="1897"/>
      <c r="I1" s="1897"/>
      <c r="J1" s="1897"/>
      <c r="K1" s="1897"/>
      <c r="L1" s="1897"/>
      <c r="M1" s="1897"/>
      <c r="N1" s="1897"/>
      <c r="O1" s="1897"/>
      <c r="P1" s="1897"/>
    </row>
    <row r="2" spans="1:16" ht="15">
      <c r="A2" s="3377" t="s">
        <v>202</v>
      </c>
      <c r="B2" s="3377"/>
      <c r="C2" s="3377"/>
      <c r="D2" s="1888" t="s">
        <v>203</v>
      </c>
      <c r="E2" s="106" t="s">
        <v>204</v>
      </c>
      <c r="F2" s="3081"/>
      <c r="G2" s="1181"/>
      <c r="H2" s="1182"/>
      <c r="I2" s="1183" t="s">
        <v>848</v>
      </c>
      <c r="J2" s="3081"/>
      <c r="K2" s="3081"/>
      <c r="L2" s="3081"/>
      <c r="M2" s="3081"/>
      <c r="N2" s="3081"/>
      <c r="O2" s="3081"/>
      <c r="P2" s="3081"/>
    </row>
    <row r="3" spans="1:16" ht="15.75" thickBot="1">
      <c r="A3" s="3378" t="s">
        <v>205</v>
      </c>
      <c r="B3" s="3378"/>
      <c r="C3" s="3378"/>
      <c r="D3" s="107">
        <f>'数据-基础表'!AY6</f>
        <v>17997.97</v>
      </c>
      <c r="E3" s="107">
        <f>'数据-基础表'!AZ5</f>
        <v>68200</v>
      </c>
      <c r="F3" s="3081"/>
      <c r="G3" s="278" t="s">
        <v>849</v>
      </c>
      <c r="H3" s="273" t="s">
        <v>850</v>
      </c>
      <c r="I3" s="1889">
        <f>ROUND('数据-基础表'!B3/'数据-基础表'!A3,2)</f>
        <v>3.79</v>
      </c>
      <c r="J3" s="3081"/>
      <c r="K3" s="3081"/>
      <c r="L3" s="3081"/>
      <c r="M3" s="3081"/>
      <c r="N3" s="3081"/>
      <c r="O3" s="3081"/>
      <c r="P3" s="3081"/>
    </row>
    <row r="4" spans="1:16" ht="15">
      <c r="A4" s="3379"/>
      <c r="B4" s="3380"/>
      <c r="C4" s="3381"/>
      <c r="D4" s="108" t="s">
        <v>203</v>
      </c>
      <c r="E4" s="109" t="s">
        <v>204</v>
      </c>
      <c r="F4" s="3081"/>
      <c r="G4" s="1184"/>
      <c r="H4" s="273" t="s">
        <v>851</v>
      </c>
      <c r="I4" s="1889">
        <f>ROUND(SUMIF('数据-基础表'!I9:AS9,"地上",'数据-基础表'!I5:AS5)/'数据-基础表'!A3,2)</f>
        <v>2.0699999999999998</v>
      </c>
      <c r="J4" s="3081"/>
      <c r="K4" s="3081"/>
      <c r="L4" s="3081"/>
      <c r="M4" s="3081"/>
      <c r="N4" s="3081"/>
      <c r="O4" s="3081"/>
      <c r="P4" s="3081"/>
    </row>
    <row r="5" spans="1:16">
      <c r="A5" s="110" t="s">
        <v>206</v>
      </c>
      <c r="B5" s="3382" t="s">
        <v>229</v>
      </c>
      <c r="C5" s="3382"/>
      <c r="D5" s="111">
        <f>ROUND($D$3*E5/$E$3,2)</f>
        <v>0</v>
      </c>
      <c r="E5" s="112">
        <f>SUMIF('数据-基础表'!$11:$11,"住宅",'数据-基础表'!$5:$5)</f>
        <v>0</v>
      </c>
      <c r="F5" s="3081"/>
      <c r="G5" s="278" t="s">
        <v>852</v>
      </c>
      <c r="H5" s="273" t="s">
        <v>850</v>
      </c>
      <c r="I5" s="1889">
        <f>ROUND(E31/D31,2)</f>
        <v>3.79</v>
      </c>
      <c r="J5" s="3081"/>
      <c r="K5" s="3081"/>
      <c r="L5" s="3081"/>
      <c r="M5" s="3081"/>
      <c r="N5" s="3081"/>
      <c r="O5" s="3081"/>
      <c r="P5" s="3081"/>
    </row>
    <row r="6" spans="1:16" ht="15" thickBot="1">
      <c r="A6" s="113"/>
      <c r="B6" s="3382" t="s">
        <v>207</v>
      </c>
      <c r="C6" s="3382"/>
      <c r="D6" s="111">
        <f>ROUND($D$3*E6/$E$3,2)</f>
        <v>17997.97</v>
      </c>
      <c r="E6" s="112">
        <f>E3-E5</f>
        <v>68200</v>
      </c>
      <c r="F6" s="3081"/>
      <c r="G6" s="1184"/>
      <c r="H6" s="273" t="s">
        <v>851</v>
      </c>
      <c r="I6" s="1889">
        <f>ROUND(F31/D31,2)</f>
        <v>2.0699999999999998</v>
      </c>
      <c r="J6" s="3081"/>
      <c r="K6" s="3081"/>
      <c r="L6" s="3081"/>
      <c r="M6" s="3081"/>
      <c r="N6" s="3081"/>
      <c r="O6" s="3081"/>
      <c r="P6" s="3081"/>
    </row>
    <row r="7" spans="1:16" ht="15">
      <c r="A7" s="3374"/>
      <c r="B7" s="3375"/>
      <c r="C7" s="3376"/>
      <c r="D7" s="108" t="s">
        <v>203</v>
      </c>
      <c r="E7" s="114" t="s">
        <v>230</v>
      </c>
      <c r="F7" s="3081"/>
      <c r="G7" s="1139" t="s">
        <v>1635</v>
      </c>
      <c r="H7" s="1140"/>
      <c r="I7" s="1759"/>
      <c r="J7" s="3081"/>
      <c r="K7" s="3081"/>
      <c r="L7" s="3081"/>
      <c r="M7" s="3081"/>
      <c r="N7" s="3081"/>
      <c r="O7" s="3081"/>
      <c r="P7" s="3081"/>
    </row>
    <row r="8" spans="1:16">
      <c r="A8" s="110" t="s">
        <v>208</v>
      </c>
      <c r="B8" s="115" t="s">
        <v>209</v>
      </c>
      <c r="C8" s="111" t="s">
        <v>210</v>
      </c>
      <c r="D8" s="111">
        <f t="shared" ref="D8:D15" si="0">ROUND($D$3*E8/$E$3,2)</f>
        <v>9817.07</v>
      </c>
      <c r="E8" s="116">
        <f>SUMIF('数据-基础表'!BB10:BK10,"地上",'数据-基础表'!BB5:BK5)</f>
        <v>37200</v>
      </c>
      <c r="F8" s="3081"/>
      <c r="G8" s="3082"/>
      <c r="H8" s="3082"/>
      <c r="I8" s="3081"/>
      <c r="J8" s="3081"/>
      <c r="K8" s="3081"/>
      <c r="L8" s="3081"/>
      <c r="M8" s="3081"/>
      <c r="N8" s="3081"/>
      <c r="O8" s="3081"/>
      <c r="P8" s="3081"/>
    </row>
    <row r="9" spans="1:16">
      <c r="A9" s="117"/>
      <c r="B9" s="118"/>
      <c r="C9" s="111" t="s">
        <v>211</v>
      </c>
      <c r="D9" s="111">
        <f t="shared" si="0"/>
        <v>0</v>
      </c>
      <c r="E9" s="119">
        <v>0</v>
      </c>
      <c r="F9" s="3081"/>
      <c r="G9" s="3082"/>
      <c r="H9" s="3082"/>
      <c r="I9" s="3081"/>
      <c r="J9" s="3081"/>
      <c r="K9" s="3081"/>
      <c r="L9" s="3081"/>
      <c r="M9" s="3081"/>
      <c r="N9" s="3081"/>
      <c r="O9" s="3081"/>
      <c r="P9" s="3081"/>
    </row>
    <row r="10" spans="1:16">
      <c r="A10" s="117"/>
      <c r="B10" s="118"/>
      <c r="C10" s="111" t="s">
        <v>212</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213</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8180.9</v>
      </c>
      <c r="E13" s="116">
        <f>SUMPRODUCT(('数据-基础表'!BB10:BK10="地下")*('数据-基础表'!BB11:BK11="车库")*('数据-基础表'!BB5:BK5))</f>
        <v>31000</v>
      </c>
      <c r="F13" s="3081"/>
      <c r="G13" s="3082"/>
      <c r="H13" s="3082"/>
      <c r="I13" s="3081"/>
      <c r="J13" s="3081"/>
      <c r="K13" s="3081"/>
      <c r="L13" s="3081"/>
      <c r="M13" s="3081"/>
      <c r="N13" s="3081"/>
      <c r="O13" s="3081"/>
      <c r="P13" s="3081"/>
    </row>
    <row r="14" spans="1:16">
      <c r="A14" s="117"/>
      <c r="B14" s="118"/>
      <c r="C14" s="111" t="s">
        <v>231</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232</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214</v>
      </c>
      <c r="D16" s="115">
        <f>SUM(D8:D15)</f>
        <v>17997.97</v>
      </c>
      <c r="E16" s="120">
        <f>SUM(E8:E15)</f>
        <v>68200</v>
      </c>
      <c r="F16" s="3081"/>
      <c r="G16" s="3082"/>
      <c r="H16" s="956" t="s">
        <v>218</v>
      </c>
      <c r="I16" s="957"/>
      <c r="J16" s="1897"/>
      <c r="K16" s="3368" t="s">
        <v>2546</v>
      </c>
      <c r="L16" s="3369"/>
      <c r="M16" s="3369"/>
      <c r="N16" s="3369"/>
      <c r="O16" s="3369"/>
      <c r="P16" s="3370"/>
    </row>
    <row r="17" spans="1:19" ht="15">
      <c r="A17" s="121" t="s">
        <v>215</v>
      </c>
      <c r="B17" s="122" t="s">
        <v>216</v>
      </c>
      <c r="C17" s="2177" t="s">
        <v>2300</v>
      </c>
      <c r="D17" s="108" t="s">
        <v>203</v>
      </c>
      <c r="E17" s="124" t="s">
        <v>204</v>
      </c>
      <c r="F17" s="125"/>
      <c r="G17" s="1318"/>
      <c r="H17" s="958" t="s">
        <v>217</v>
      </c>
      <c r="I17" s="959" t="s">
        <v>2299</v>
      </c>
      <c r="J17" s="1897"/>
      <c r="K17" s="3371" t="s">
        <v>2547</v>
      </c>
      <c r="L17" s="3372"/>
      <c r="M17" s="3373"/>
      <c r="N17" s="3371" t="s">
        <v>2548</v>
      </c>
      <c r="O17" s="3372"/>
      <c r="P17" s="3373"/>
      <c r="R17" s="2178" t="s">
        <v>2298</v>
      </c>
      <c r="S17" s="142"/>
    </row>
    <row r="18" spans="1:19" ht="15">
      <c r="A18" s="117"/>
      <c r="B18" s="128"/>
      <c r="C18" s="129"/>
      <c r="D18" s="2483"/>
      <c r="E18" s="130" t="s">
        <v>219</v>
      </c>
      <c r="F18" s="131" t="s">
        <v>220</v>
      </c>
      <c r="G18" s="1319" t="s">
        <v>221</v>
      </c>
      <c r="H18" s="960" t="s">
        <v>222</v>
      </c>
      <c r="I18" s="961" t="s">
        <v>223</v>
      </c>
      <c r="J18" s="1897"/>
      <c r="K18" s="2448" t="s">
        <v>2549</v>
      </c>
      <c r="L18" s="2449" t="s">
        <v>2550</v>
      </c>
      <c r="M18" s="2450" t="s">
        <v>2551</v>
      </c>
      <c r="N18" s="2448" t="s">
        <v>2549</v>
      </c>
      <c r="O18" s="2449" t="s">
        <v>2550</v>
      </c>
      <c r="P18" s="2450" t="s">
        <v>2551</v>
      </c>
      <c r="R18" s="2179" t="s">
        <v>2296</v>
      </c>
      <c r="S18" s="2179" t="s">
        <v>2297</v>
      </c>
    </row>
    <row r="19" spans="1:19">
      <c r="A19" s="133"/>
      <c r="B19" s="115" t="s">
        <v>224</v>
      </c>
      <c r="C19" s="2736" t="s">
        <v>3246</v>
      </c>
      <c r="D19" s="111">
        <f t="shared" ref="D19:D26" si="1">ROUND($D$3*E19/$E$3,2)</f>
        <v>4116.84</v>
      </c>
      <c r="E19" s="134">
        <f t="shared" ref="E19:E26" si="2">SUM(F19:G19)</f>
        <v>15600</v>
      </c>
      <c r="F19" s="3083">
        <f>'数据-基础表'!I13</f>
        <v>15600</v>
      </c>
      <c r="G19" s="3084"/>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4116.84</v>
      </c>
      <c r="S19" s="2180">
        <f t="shared" si="5"/>
        <v>15600</v>
      </c>
    </row>
    <row r="20" spans="1:19">
      <c r="A20" s="137"/>
      <c r="B20" s="115" t="s">
        <v>225</v>
      </c>
      <c r="C20" s="2736" t="s">
        <v>3247</v>
      </c>
      <c r="D20" s="111">
        <f t="shared" si="1"/>
        <v>3562.65</v>
      </c>
      <c r="E20" s="134">
        <f t="shared" si="2"/>
        <v>13500</v>
      </c>
      <c r="F20" s="3083">
        <f>'数据-基础表'!M15</f>
        <v>13500</v>
      </c>
      <c r="G20" s="3084"/>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3562.65</v>
      </c>
      <c r="S20" s="2180">
        <f t="shared" si="5"/>
        <v>13500</v>
      </c>
    </row>
    <row r="21" spans="1:19">
      <c r="A21" s="137"/>
      <c r="B21" s="115" t="s">
        <v>225</v>
      </c>
      <c r="C21" s="2736" t="s">
        <v>3248</v>
      </c>
      <c r="D21" s="111">
        <f t="shared" si="1"/>
        <v>2137.59</v>
      </c>
      <c r="E21" s="134">
        <f t="shared" si="2"/>
        <v>8100</v>
      </c>
      <c r="F21" s="3083">
        <f>'数据-基础表'!K14</f>
        <v>8100</v>
      </c>
      <c r="G21" s="3084"/>
      <c r="H21" s="962">
        <f t="shared" si="6"/>
        <v>0</v>
      </c>
      <c r="I21" s="116">
        <f t="shared" si="7"/>
        <v>0</v>
      </c>
      <c r="J21" s="1897"/>
      <c r="K21" s="2451">
        <f t="shared" si="3"/>
        <v>0</v>
      </c>
      <c r="L21" s="273">
        <f t="shared" si="4"/>
        <v>0</v>
      </c>
      <c r="M21" s="2452">
        <f t="shared" si="8"/>
        <v>0</v>
      </c>
      <c r="N21" s="2453"/>
      <c r="O21" s="2454"/>
      <c r="P21" s="2455">
        <f t="shared" si="9"/>
        <v>0</v>
      </c>
      <c r="R21" s="273">
        <f t="shared" si="5"/>
        <v>2137.59</v>
      </c>
      <c r="S21" s="2180">
        <f t="shared" si="5"/>
        <v>8100</v>
      </c>
    </row>
    <row r="22" spans="1:19">
      <c r="A22" s="137"/>
      <c r="B22" s="115" t="s">
        <v>225</v>
      </c>
      <c r="C22" s="3293" t="s">
        <v>3249</v>
      </c>
      <c r="D22" s="111">
        <f t="shared" si="1"/>
        <v>8180.9</v>
      </c>
      <c r="E22" s="134">
        <f t="shared" si="2"/>
        <v>31000</v>
      </c>
      <c r="F22" s="3085"/>
      <c r="G22" s="3086">
        <f>'数据-基础表'!O16</f>
        <v>31000</v>
      </c>
      <c r="H22" s="962">
        <f t="shared" si="6"/>
        <v>0</v>
      </c>
      <c r="I22" s="116">
        <f t="shared" si="7"/>
        <v>0</v>
      </c>
      <c r="J22" s="1897"/>
      <c r="K22" s="2451">
        <f t="shared" si="3"/>
        <v>0</v>
      </c>
      <c r="L22" s="273">
        <f t="shared" si="4"/>
        <v>0</v>
      </c>
      <c r="M22" s="2452">
        <f t="shared" si="8"/>
        <v>0</v>
      </c>
      <c r="N22" s="2453"/>
      <c r="O22" s="2454"/>
      <c r="P22" s="2455">
        <f t="shared" si="9"/>
        <v>0</v>
      </c>
      <c r="R22" s="273">
        <f t="shared" si="5"/>
        <v>8180.9</v>
      </c>
      <c r="S22" s="2180">
        <f t="shared" si="5"/>
        <v>31000</v>
      </c>
    </row>
    <row r="23" spans="1:19">
      <c r="A23" s="137"/>
      <c r="B23" s="115" t="s">
        <v>225</v>
      </c>
      <c r="C23" s="138"/>
      <c r="D23" s="111">
        <f>ROUND($D$3*E23/$E$3,2)</f>
        <v>0</v>
      </c>
      <c r="E23" s="134">
        <f>SUM(F23:G23)</f>
        <v>0</v>
      </c>
      <c r="F23" s="3085"/>
      <c r="G23" s="3086"/>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225</v>
      </c>
      <c r="C24" s="138"/>
      <c r="D24" s="111">
        <f>ROUND($D$3*E24/$E$3,2)</f>
        <v>0</v>
      </c>
      <c r="E24" s="134">
        <f>SUM(F24:G24)</f>
        <v>0</v>
      </c>
      <c r="F24" s="3085"/>
      <c r="G24" s="3086"/>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225</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225</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214</v>
      </c>
      <c r="D27" s="134">
        <f>SUM(D19:D26)</f>
        <v>17997.98</v>
      </c>
      <c r="E27" s="141">
        <f>IF(SUM(E19:E26)='数据-基础表'!BA5,SUM(E19:E26),IF(F27="地上面积有误","面积有误","地下面积有误"))</f>
        <v>68200</v>
      </c>
      <c r="F27" s="134">
        <f>IF(SUM(F19:F26)=E8,SUM(F19:F26),"地上面积有误")</f>
        <v>37200</v>
      </c>
      <c r="G27" s="112">
        <f>SUM(G19:G26)</f>
        <v>31000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17997.98误差0.01</v>
      </c>
      <c r="S27" s="273">
        <f>IF(SUM(S19:S26)=$E$3,SUM(S19:S26),SUM(S19:S26)&amp;"误差"&amp;ROUND(SUM(S19:S26)-E3,2))</f>
        <v>68200</v>
      </c>
    </row>
    <row r="28" spans="1:19">
      <c r="A28" s="137"/>
      <c r="B28" s="115" t="s">
        <v>226</v>
      </c>
      <c r="C28" s="135" t="s">
        <v>227</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226</v>
      </c>
      <c r="C29" s="2192"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214</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228</v>
      </c>
      <c r="C31" s="2209" t="s">
        <v>2309</v>
      </c>
      <c r="D31" s="1322">
        <f>D27+D30</f>
        <v>17997.98</v>
      </c>
      <c r="E31" s="1322">
        <f>E27+E30</f>
        <v>68200</v>
      </c>
      <c r="F31" s="1323">
        <f>F27+F30</f>
        <v>37200</v>
      </c>
      <c r="G31" s="1324">
        <f>G27+G30</f>
        <v>31000</v>
      </c>
      <c r="H31" s="3081"/>
      <c r="I31" s="3081"/>
      <c r="J31" s="3081"/>
      <c r="K31" s="3081"/>
      <c r="L31" s="3081"/>
      <c r="M31" s="3081"/>
      <c r="N31" s="3081"/>
      <c r="O31" s="3081"/>
      <c r="P31" s="3081"/>
    </row>
    <row r="32" spans="1:19">
      <c r="A32" s="1897"/>
      <c r="B32" s="2221" t="s">
        <v>2308</v>
      </c>
      <c r="C32" s="2488"/>
      <c r="D32" s="1184"/>
      <c r="E32" s="1184">
        <f>SUMIF(C19:C26,"*住宅*",E19:E26)</f>
        <v>0</v>
      </c>
      <c r="F32" s="1184"/>
      <c r="G32" s="1184"/>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X50" sqref="X50"/>
      <selection pane="topRight" activeCell="X50" sqref="X50"/>
      <selection pane="bottomLeft" activeCell="X50" sqref="X50"/>
      <selection pane="bottomRight" activeCell="H8" sqref="H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11"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233</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9" customFormat="1" ht="15.75" thickBot="1">
      <c r="A2" s="147" t="s">
        <v>234</v>
      </c>
      <c r="B2" s="2217">
        <f>项目基本情况!D3</f>
        <v>44448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2" t="s">
        <v>2806</v>
      </c>
      <c r="O5" s="161" t="s">
        <v>245</v>
      </c>
      <c r="P5" s="163" t="s">
        <v>246</v>
      </c>
      <c r="Q5" s="164" t="s">
        <v>247</v>
      </c>
      <c r="R5" s="165" t="s">
        <v>248</v>
      </c>
      <c r="S5" s="2464" t="s">
        <v>2552</v>
      </c>
      <c r="T5" s="166" t="s">
        <v>249</v>
      </c>
      <c r="U5" s="167" t="s">
        <v>250</v>
      </c>
      <c r="V5" s="157" t="s">
        <v>251</v>
      </c>
      <c r="W5" s="157" t="s">
        <v>252</v>
      </c>
      <c r="X5" s="1732"/>
      <c r="Y5" s="168" t="s">
        <v>253</v>
      </c>
      <c r="Z5" s="169" t="s">
        <v>254</v>
      </c>
      <c r="AA5" s="157" t="s">
        <v>251</v>
      </c>
      <c r="AB5" s="157" t="s">
        <v>252</v>
      </c>
      <c r="AC5" s="1733"/>
      <c r="AD5" s="170" t="s">
        <v>253</v>
      </c>
      <c r="AE5" s="1" t="s">
        <v>861</v>
      </c>
      <c r="AF5" s="157" t="s">
        <v>255</v>
      </c>
      <c r="AG5" s="168" t="s">
        <v>256</v>
      </c>
      <c r="AH5" s="1733" t="s">
        <v>2310</v>
      </c>
      <c r="AI5" s="169" t="s">
        <v>2279</v>
      </c>
      <c r="AJ5" s="169" t="s">
        <v>257</v>
      </c>
      <c r="AK5" s="157" t="s">
        <v>258</v>
      </c>
      <c r="AL5" s="157" t="s">
        <v>259</v>
      </c>
      <c r="AM5" s="170" t="s">
        <v>260</v>
      </c>
      <c r="AN5" s="2245" t="s">
        <v>2357</v>
      </c>
      <c r="AO5" s="3102"/>
      <c r="AP5" s="3087" t="s">
        <v>2969</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公寓</v>
      </c>
      <c r="B6" s="2216" t="str">
        <f>IF(A6=0,"","经营性")</f>
        <v>经营性</v>
      </c>
      <c r="C6" s="171" t="s">
        <v>3232</v>
      </c>
      <c r="D6" s="2187">
        <f>SUMIF(项目基本情况!D$15:I$15,C6,项目基本情况!D$18:I$18)</f>
        <v>40</v>
      </c>
      <c r="E6" s="2188">
        <f>IF(B6="","",SUMIF(项目基本情况!D$15:I$15,C6,项目基本情况!D$17:I$17))</f>
        <v>58856</v>
      </c>
      <c r="F6" s="172">
        <f>SUMIF(项目基本情况!D$15:I$15,C6,项目基本情况!D$19:I$19)</f>
        <v>39.47</v>
      </c>
      <c r="G6" s="173">
        <f>IF(ISERROR(ROUND(POWER(1+H6,D6-F6)*(POWER(1+H6,F6)-1)/(POWER(1+H6,D6)-1),3)),0,ROUND(POWER(1+H6,D6-F6)*(POWER(1+H6,F6)-1)/(POWER(1+H6,D6)-1),3))</f>
        <v>0.995</v>
      </c>
      <c r="H6" s="2737">
        <v>4.4999999999999998E-2</v>
      </c>
      <c r="I6" s="2737">
        <v>0.05</v>
      </c>
      <c r="J6" s="174">
        <v>8.5000000000000006E-2</v>
      </c>
      <c r="K6" s="177">
        <f>SUMIF('数据-汇总表'!C$19:C$33,'数据-取费表'!A6,'数据-汇总表'!E$19:E$33)</f>
        <v>15600</v>
      </c>
      <c r="L6" s="2738">
        <v>3500</v>
      </c>
      <c r="M6" s="175">
        <f t="shared" ref="M6:M14" si="0">ROUND(K6*L6/10000,0)</f>
        <v>5460</v>
      </c>
      <c r="N6" s="2739">
        <v>0</v>
      </c>
      <c r="O6" s="175">
        <f>IF($N$5="成新度","——",ROUND(M6*N6,0))</f>
        <v>0</v>
      </c>
      <c r="P6" s="176">
        <f>IF($N$5="成新度","——",M6-O6)</f>
        <v>5460</v>
      </c>
      <c r="Q6" s="2740">
        <v>0.1</v>
      </c>
      <c r="R6" s="177">
        <f>SUMIF('数据-汇总表'!C$19:C$33,A6,'数据-汇总表'!R$19:R$33)</f>
        <v>4116.84</v>
      </c>
      <c r="S6" s="132">
        <f>IF('数据-汇总表'!$I$17="按面积比例",SUMIF('数据-汇总表'!C$19:C$33,A6,'数据-汇总表'!K$19:K$33),SUMIF('数据-汇总表'!C$19:C$33,A6,'数据-汇总表'!N$19:N$33))</f>
        <v>0</v>
      </c>
      <c r="T6" s="2113" t="str">
        <f>IF($T$4="按面积比例",IF(ISERROR(ROUND($M$14*S6/S$16,0)),"0",ROUND($M$14*S6/S$16,0)),"需自行计算录入")</f>
        <v>0</v>
      </c>
      <c r="U6" s="178">
        <v>3</v>
      </c>
      <c r="V6" s="179">
        <v>3.5000000000000003E-2</v>
      </c>
      <c r="W6" s="179">
        <v>0.1</v>
      </c>
      <c r="X6" s="2200"/>
      <c r="Y6" s="180">
        <v>1</v>
      </c>
      <c r="Z6" s="181"/>
      <c r="AA6" s="174"/>
      <c r="AB6" s="174"/>
      <c r="AC6" s="2203"/>
      <c r="AD6" s="182"/>
      <c r="AE6" s="960">
        <f ca="1">IF(AN6="",0,SUMIF(INDIRECT("'"&amp;AN6&amp;"'"&amp;"!E:E"),$AE$5,INDIRECT("'"&amp;AN6&amp;"'"&amp;"!F:F")))</f>
        <v>39.47</v>
      </c>
      <c r="AF6" s="139"/>
      <c r="AG6" s="1196">
        <f>IF(AF6="",0,AE6-AF6)</f>
        <v>0</v>
      </c>
      <c r="AH6" s="139"/>
      <c r="AI6" s="185">
        <v>365</v>
      </c>
      <c r="AJ6" s="186"/>
      <c r="AK6" s="187">
        <v>1.2999999999999999E-2</v>
      </c>
      <c r="AL6" s="188">
        <v>1.5E-3</v>
      </c>
      <c r="AM6" s="2751">
        <v>0.01</v>
      </c>
      <c r="AN6" s="2246" t="s">
        <v>3254</v>
      </c>
      <c r="AO6" s="3091"/>
      <c r="AP6" s="1187">
        <f>ROUND(1-1/(1+H6)^F6,3)</f>
        <v>0.82399999999999995</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酒店</v>
      </c>
      <c r="B7" s="2216" t="str">
        <f t="shared" ref="B7:B13" si="1">IF(A7=0,"","经营性")</f>
        <v>经营性</v>
      </c>
      <c r="C7" s="171" t="s">
        <v>3232</v>
      </c>
      <c r="D7" s="2187">
        <f>SUMIF(项目基本情况!D$15:I$15,C7,项目基本情况!D$18:I$18)</f>
        <v>40</v>
      </c>
      <c r="E7" s="2188">
        <f>IF(B7="","",SUMIF(项目基本情况!D$15:I$15,C7,项目基本情况!D$17:I$17))</f>
        <v>58856</v>
      </c>
      <c r="F7" s="172">
        <f>SUMIF(项目基本情况!D$15:I$15,C7,项目基本情况!D$19:I$19)</f>
        <v>39.47</v>
      </c>
      <c r="G7" s="173">
        <f t="shared" ref="G7:G11" si="2">IF(ISERROR(ROUND(POWER(1+H7,D7-F7)*(POWER(1+H7,F7)-1)/(POWER(1+H7,D7)-1),3)),0,ROUND(POWER(1+H7,D7-F7)*(POWER(1+H7,F7)-1)/(POWER(1+H7,D7)-1),3))</f>
        <v>0.995</v>
      </c>
      <c r="H7" s="2737">
        <v>4.4999999999999998E-2</v>
      </c>
      <c r="I7" s="2737">
        <v>0.05</v>
      </c>
      <c r="J7" s="174">
        <v>8.5000000000000006E-2</v>
      </c>
      <c r="K7" s="177">
        <f>SUMIF('数据-汇总表'!C$19:C$33,'数据-取费表'!A7,'数据-汇总表'!E$19:E$33)</f>
        <v>13500</v>
      </c>
      <c r="L7" s="2738">
        <v>5000</v>
      </c>
      <c r="M7" s="175">
        <f t="shared" si="0"/>
        <v>6750</v>
      </c>
      <c r="N7" s="2739">
        <v>0</v>
      </c>
      <c r="O7" s="175">
        <f t="shared" ref="O7:O14" si="3">IF($N$5="成新度","——",ROUND(M7*N7,0))</f>
        <v>0</v>
      </c>
      <c r="P7" s="176">
        <f t="shared" ref="P7:P14" si="4">IF($N$5="成新度","——",M7-O7)</f>
        <v>6750</v>
      </c>
      <c r="Q7" s="2740">
        <v>0.1</v>
      </c>
      <c r="R7" s="177">
        <f>SUMIF('数据-汇总表'!C$19:C$33,A7,'数据-汇总表'!R$19:R$33)</f>
        <v>3562.65</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f>酒店收入计算!E26*10000</f>
        <v>15330000</v>
      </c>
      <c r="V7" s="179">
        <v>2.5000000000000001E-2</v>
      </c>
      <c r="W7" s="179">
        <v>0</v>
      </c>
      <c r="X7" s="2200"/>
      <c r="Y7" s="180">
        <v>1</v>
      </c>
      <c r="Z7" s="181"/>
      <c r="AA7" s="174"/>
      <c r="AB7" s="174"/>
      <c r="AC7" s="2203"/>
      <c r="AD7" s="182"/>
      <c r="AE7" s="960">
        <f t="shared" ref="AE7:AE13" ca="1" si="6">IF(AN7="",0,SUMIF(INDIRECT("'"&amp;AN7&amp;"'"&amp;"!E:E"),$AE$5,INDIRECT("'"&amp;AN7&amp;"'"&amp;"!F:F")))</f>
        <v>39.47</v>
      </c>
      <c r="AF7" s="139"/>
      <c r="AG7" s="1196">
        <f t="shared" ref="AG7:AG13" si="7">IF(AF7="",0,AE7-AF7)</f>
        <v>0</v>
      </c>
      <c r="AH7" s="139">
        <v>1</v>
      </c>
      <c r="AI7" s="185">
        <v>1</v>
      </c>
      <c r="AJ7" s="186"/>
      <c r="AK7" s="187">
        <f>AK6</f>
        <v>1.2999999999999999E-2</v>
      </c>
      <c r="AL7" s="188">
        <v>1.5E-3</v>
      </c>
      <c r="AM7" s="2751">
        <f>AM6</f>
        <v>0.01</v>
      </c>
      <c r="AN7" s="2246" t="s">
        <v>3259</v>
      </c>
      <c r="AO7" s="3091"/>
      <c r="AP7" s="1187">
        <f t="shared" ref="AP7:AP13" si="8">ROUND(1-1/(1+H7)^F7,3)</f>
        <v>0.82399999999999995</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商业</v>
      </c>
      <c r="B8" s="2216" t="str">
        <f t="shared" si="1"/>
        <v>经营性</v>
      </c>
      <c r="C8" s="171" t="s">
        <v>3232</v>
      </c>
      <c r="D8" s="2187">
        <f>SUMIF(项目基本情况!D$15:I$15,C8,项目基本情况!D$18:I$18)</f>
        <v>40</v>
      </c>
      <c r="E8" s="2188">
        <f>IF(B8="","",SUMIF(项目基本情况!D$15:I$15,C8,项目基本情况!D$17:I$17))</f>
        <v>58856</v>
      </c>
      <c r="F8" s="172">
        <f>SUMIF(项目基本情况!D$15:I$15,C8,项目基本情况!D$19:I$19)</f>
        <v>39.47</v>
      </c>
      <c r="G8" s="173">
        <f t="shared" si="2"/>
        <v>0.996</v>
      </c>
      <c r="H8" s="2737">
        <v>0.05</v>
      </c>
      <c r="I8" s="2737">
        <v>5.5E-2</v>
      </c>
      <c r="J8" s="174">
        <v>8.5000000000000006E-2</v>
      </c>
      <c r="K8" s="177">
        <f>SUMIF('数据-汇总表'!C$19:C$33,'数据-取费表'!A8,'数据-汇总表'!E$19:E$33)</f>
        <v>8100</v>
      </c>
      <c r="L8" s="2738">
        <v>3000</v>
      </c>
      <c r="M8" s="175">
        <f>ROUND(K8*L8/10000,0)</f>
        <v>2430</v>
      </c>
      <c r="N8" s="2739">
        <v>0</v>
      </c>
      <c r="O8" s="175">
        <f t="shared" si="3"/>
        <v>0</v>
      </c>
      <c r="P8" s="176">
        <f t="shared" si="4"/>
        <v>2430</v>
      </c>
      <c r="Q8" s="2740">
        <v>0.15</v>
      </c>
      <c r="R8" s="177">
        <f>SUMIF('数据-汇总表'!C$19:C$33,A8,'数据-汇总表'!R$19:R$33)</f>
        <v>2137.59</v>
      </c>
      <c r="S8" s="132">
        <f>IF('数据-汇总表'!$I$17="按面积比例",SUMIF('数据-汇总表'!C$19:C$33,A8,'数据-汇总表'!K$19:K$33),SUMIF('数据-汇总表'!C$19:C$33,A8,'数据-汇总表'!N$19:N$33))</f>
        <v>0</v>
      </c>
      <c r="T8" s="2113" t="str">
        <f t="shared" si="5"/>
        <v>0</v>
      </c>
      <c r="U8" s="178">
        <v>5.5</v>
      </c>
      <c r="V8" s="179">
        <v>0.03</v>
      </c>
      <c r="W8" s="179">
        <v>0.1</v>
      </c>
      <c r="X8" s="2200"/>
      <c r="Y8" s="180">
        <v>1</v>
      </c>
      <c r="Z8" s="181"/>
      <c r="AA8" s="174"/>
      <c r="AB8" s="174"/>
      <c r="AC8" s="2203"/>
      <c r="AD8" s="182"/>
      <c r="AE8" s="960">
        <f t="shared" ca="1" si="6"/>
        <v>39.47</v>
      </c>
      <c r="AF8" s="139"/>
      <c r="AG8" s="1196">
        <f t="shared" si="7"/>
        <v>0</v>
      </c>
      <c r="AH8" s="139"/>
      <c r="AI8" s="185">
        <v>365</v>
      </c>
      <c r="AJ8" s="186"/>
      <c r="AK8" s="187">
        <f>AK7</f>
        <v>1.2999999999999999E-2</v>
      </c>
      <c r="AL8" s="188">
        <v>1.5E-3</v>
      </c>
      <c r="AM8" s="2751">
        <f>AM7</f>
        <v>0.01</v>
      </c>
      <c r="AN8" s="2246" t="s">
        <v>3261</v>
      </c>
      <c r="AO8" s="3091"/>
      <c r="AP8" s="1187">
        <f t="shared" si="8"/>
        <v>0.85399999999999998</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车库</v>
      </c>
      <c r="B9" s="2216" t="str">
        <f t="shared" si="1"/>
        <v>经营性</v>
      </c>
      <c r="C9" s="171" t="s">
        <v>3243</v>
      </c>
      <c r="D9" s="2187">
        <f>SUMIF(项目基本情况!D$15:I$15,C9,项目基本情况!D$18:I$18)</f>
        <v>50</v>
      </c>
      <c r="E9" s="2188">
        <f>IF(B9="","",SUMIF(项目基本情况!D$15:I$15,C9,项目基本情况!D$17:I$17))</f>
        <v>62508</v>
      </c>
      <c r="F9" s="172">
        <f>SUMIF(项目基本情况!D$15:I$15,C9,项目基本情况!D$19:I$19)</f>
        <v>49.47</v>
      </c>
      <c r="G9" s="173">
        <f t="shared" si="2"/>
        <v>0.997</v>
      </c>
      <c r="H9" s="174">
        <v>0.04</v>
      </c>
      <c r="I9" s="174">
        <v>4.4999999999999998E-2</v>
      </c>
      <c r="J9" s="174">
        <v>8.5000000000000006E-2</v>
      </c>
      <c r="K9" s="177">
        <f>SUMIF('数据-汇总表'!C$19:C$33,'数据-取费表'!A9,'数据-汇总表'!E$19:E$33)</f>
        <v>31000</v>
      </c>
      <c r="L9" s="191">
        <v>3000</v>
      </c>
      <c r="M9" s="175">
        <f t="shared" si="0"/>
        <v>9300</v>
      </c>
      <c r="N9" s="192">
        <v>0</v>
      </c>
      <c r="O9" s="175">
        <f t="shared" si="3"/>
        <v>0</v>
      </c>
      <c r="P9" s="176">
        <f t="shared" si="4"/>
        <v>9300</v>
      </c>
      <c r="Q9" s="190">
        <v>0.05</v>
      </c>
      <c r="R9" s="177">
        <f>SUMIF('数据-汇总表'!C$19:C$33,A9,'数据-汇总表'!R$19:R$33)</f>
        <v>8180.9</v>
      </c>
      <c r="S9" s="132">
        <f>IF('数据-汇总表'!$I$17="按面积比例",SUMIF('数据-汇总表'!C$19:C$33,A9,'数据-汇总表'!K$19:K$33),SUMIF('数据-汇总表'!C$19:C$33,A9,'数据-汇总表'!N$19:N$33))</f>
        <v>0</v>
      </c>
      <c r="T9" s="2113" t="str">
        <f t="shared" si="5"/>
        <v>0</v>
      </c>
      <c r="U9" s="178">
        <v>850</v>
      </c>
      <c r="V9" s="179">
        <v>2.5000000000000001E-2</v>
      </c>
      <c r="W9" s="179">
        <v>0.1</v>
      </c>
      <c r="X9" s="2200"/>
      <c r="Y9" s="180">
        <v>1</v>
      </c>
      <c r="Z9" s="181"/>
      <c r="AA9" s="174"/>
      <c r="AB9" s="174"/>
      <c r="AC9" s="2203"/>
      <c r="AD9" s="182"/>
      <c r="AE9" s="960">
        <f t="shared" ca="1" si="6"/>
        <v>49.47</v>
      </c>
      <c r="AF9" s="139"/>
      <c r="AG9" s="1196">
        <f t="shared" si="7"/>
        <v>0</v>
      </c>
      <c r="AH9" s="139">
        <f>ROUND('数据-汇总表'!G22*2/3/35,0)</f>
        <v>590</v>
      </c>
      <c r="AI9" s="185">
        <v>12</v>
      </c>
      <c r="AJ9" s="186"/>
      <c r="AK9" s="187">
        <f>AK8</f>
        <v>1.2999999999999999E-2</v>
      </c>
      <c r="AL9" s="188">
        <v>1.5E-3</v>
      </c>
      <c r="AM9" s="2751">
        <f>AM8</f>
        <v>0.01</v>
      </c>
      <c r="AN9" s="2246" t="s">
        <v>3260</v>
      </c>
      <c r="AO9" s="3091"/>
      <c r="AP9" s="1187">
        <f t="shared" si="8"/>
        <v>0.85599999999999998</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1"/>
      <c r="AP10" s="1187">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1"/>
      <c r="AP11" s="1187">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1"/>
      <c r="AP12" s="1187">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1"/>
      <c r="AP13" s="1187">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261</v>
      </c>
      <c r="B16" s="197"/>
      <c r="C16" s="198"/>
      <c r="D16" s="199"/>
      <c r="E16" s="197"/>
      <c r="F16" s="197"/>
      <c r="G16" s="200">
        <f>ROUND(SUMPRODUCT(G6:G13,K6:K13)/SUMPRODUCT((G6:G13&gt;0)*(K6:K13)),3)</f>
        <v>0.996</v>
      </c>
      <c r="H16" s="201">
        <f>ROUND(SUMPRODUCT(H6:H13,K6:K13)/SUMPRODUCT((H6:H13&gt;0)*(K6:K13)),3)</f>
        <v>4.2999999999999997E-2</v>
      </c>
      <c r="I16" s="202"/>
      <c r="J16" s="202"/>
      <c r="K16" s="203">
        <f>SUM(K6:K15)</f>
        <v>68200</v>
      </c>
      <c r="L16" s="204">
        <f>ROUND(M16*10000/SUM(K6:K14),0)</f>
        <v>3510</v>
      </c>
      <c r="M16" s="204">
        <f>SUM(M6:M14)</f>
        <v>23940</v>
      </c>
      <c r="N16" s="205">
        <f>ROUND(SUMPRODUCT(M6:M14,N6:N14)/M16,3)</f>
        <v>0</v>
      </c>
      <c r="O16" s="204">
        <f>SUM(O6:O14)</f>
        <v>0</v>
      </c>
      <c r="P16" s="204">
        <f>SUM(P6:P14)</f>
        <v>23940</v>
      </c>
      <c r="Q16" s="206">
        <f>ROUND(SUMPRODUCT(Q6:Q13,K6:K13)/SUMPRODUCT((Q6:Q13&gt;0)*(K6:K13)),2)</f>
        <v>0.08</v>
      </c>
      <c r="R16" s="2190">
        <f>SUM(R6:R13)</f>
        <v>17997.98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7">
        <f>ROUND(SUMPRODUCT(AP6:AP13,K6:K13)/SUMPRODUCT((AP6:AP13&gt;0)*(K6:K13)),3)</f>
        <v>0.84199999999999997</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262</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263</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264</v>
      </c>
      <c r="B20" s="218">
        <v>2</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265</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266</v>
      </c>
      <c r="B22" s="220">
        <f>B19+B20</f>
        <v>2</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267</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268</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90"/>
      <c r="B25" s="1187"/>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269</v>
      </c>
      <c r="B26" s="223" t="s">
        <v>270</v>
      </c>
      <c r="C26" s="3093" t="s">
        <v>271</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8" customFormat="1" ht="27.75">
      <c r="A27" s="224" t="s">
        <v>2324</v>
      </c>
      <c r="B27" s="225">
        <v>160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272</v>
      </c>
      <c r="B30" s="966">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273</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274</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277</v>
      </c>
      <c r="B33" s="1329">
        <v>0.03</v>
      </c>
      <c r="C33" s="3106" t="s">
        <v>2970</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278</v>
      </c>
      <c r="B34" s="231">
        <v>0</v>
      </c>
      <c r="C34" s="3106" t="s">
        <v>2971</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275</v>
      </c>
      <c r="B35" s="227">
        <v>200</v>
      </c>
      <c r="C35" s="3106" t="s">
        <v>2972</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276</v>
      </c>
      <c r="B36" s="232">
        <v>1.4999999999999999E-2</v>
      </c>
      <c r="C36" s="3106" t="s">
        <v>2973</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279</v>
      </c>
      <c r="B37" s="234">
        <v>0.02</v>
      </c>
      <c r="C37" s="3106" t="s">
        <v>2974</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280</v>
      </c>
      <c r="B38" s="231">
        <v>0.02</v>
      </c>
      <c r="C38" s="3106" t="s">
        <v>2974</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7" t="s">
        <v>3250</v>
      </c>
      <c r="B40" s="2333">
        <f ca="1">IF(A40="利息：取LPR",存贷款利率!E2,存贷款利率!E2+C40)</f>
        <v>4.3499999999999997E-2</v>
      </c>
      <c r="C40" s="3278">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281</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282</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283</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284</v>
      </c>
      <c r="B44" s="240">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285</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286</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287</v>
      </c>
      <c r="B47" s="242">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288</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289</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290</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291</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292</v>
      </c>
      <c r="B52" s="248">
        <f>SUMIF(A54:A63,B53,B54:B63)</f>
        <v>3</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293</v>
      </c>
      <c r="B53" s="249" t="s">
        <v>1397</v>
      </c>
      <c r="C53" s="3099" t="s">
        <v>2870</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2871</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2872</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2873</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2874</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2875</v>
      </c>
      <c r="B58" s="184">
        <v>3</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2876</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2877</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2878</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2879</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2880</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X50" sqref="X50"/>
      <selection pane="topRight" activeCell="X50" sqref="X50"/>
      <selection pane="bottomLeft" activeCell="X50" sqref="X50"/>
      <selection pane="bottomRight" activeCell="D18" sqref="D18"/>
    </sheetView>
  </sheetViews>
  <sheetFormatPr defaultColWidth="9" defaultRowHeight="13.5"/>
  <cols>
    <col min="1" max="1" width="9.5" style="3122"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2"/>
  </cols>
  <sheetData>
    <row r="1" spans="1:18" s="3116" customFormat="1" ht="19.5" thickBot="1">
      <c r="A1" s="3383" t="s">
        <v>1653</v>
      </c>
      <c r="B1" s="3384"/>
      <c r="C1" s="3384"/>
      <c r="D1" s="3384"/>
      <c r="E1" s="3384"/>
      <c r="F1" s="3384"/>
      <c r="G1" s="3384"/>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28.5">
      <c r="A3" s="3123" t="s">
        <v>1656</v>
      </c>
      <c r="B3" s="3124" t="s">
        <v>1643</v>
      </c>
      <c r="C3" s="3125"/>
      <c r="D3" s="3126"/>
      <c r="E3" s="3127" t="s">
        <v>1656</v>
      </c>
      <c r="F3" s="3128" t="s">
        <v>1644</v>
      </c>
      <c r="G3" s="3129" t="s">
        <v>2885</v>
      </c>
      <c r="H3" s="3122"/>
      <c r="I3" s="3122"/>
      <c r="J3" s="3122"/>
      <c r="K3" s="3122"/>
      <c r="L3" s="3122"/>
      <c r="M3" s="3122"/>
      <c r="N3" s="3122"/>
      <c r="O3" s="3122"/>
      <c r="P3" s="3122"/>
      <c r="Q3" s="3122"/>
      <c r="R3" s="3122"/>
    </row>
    <row r="4" spans="1:18" ht="40.5">
      <c r="A4" s="3127"/>
      <c r="B4" s="3130" t="s">
        <v>1657</v>
      </c>
      <c r="C4" s="3601" t="s">
        <v>3271</v>
      </c>
      <c r="D4" s="3126"/>
      <c r="E4" s="3131"/>
      <c r="F4" s="3132" t="s">
        <v>1658</v>
      </c>
      <c r="G4" s="3133" t="s">
        <v>2882</v>
      </c>
      <c r="H4" s="3122"/>
      <c r="I4" s="3122"/>
      <c r="J4" s="3122"/>
      <c r="K4" s="3122"/>
      <c r="L4" s="3122"/>
      <c r="M4" s="3122"/>
      <c r="N4" s="3122"/>
      <c r="O4" s="3122"/>
      <c r="P4" s="3122"/>
      <c r="Q4" s="3122"/>
      <c r="R4" s="3122"/>
    </row>
    <row r="5" spans="1:18" ht="27">
      <c r="A5" s="3127"/>
      <c r="B5" s="3130" t="s">
        <v>1659</v>
      </c>
      <c r="C5" s="3601" t="s">
        <v>3273</v>
      </c>
      <c r="D5" s="3126"/>
      <c r="E5" s="3131"/>
      <c r="F5" s="3130" t="s">
        <v>2526</v>
      </c>
      <c r="G5" s="3133" t="s">
        <v>2883</v>
      </c>
      <c r="H5" s="3122"/>
      <c r="I5" s="3122"/>
      <c r="J5" s="3122"/>
      <c r="K5" s="3122"/>
      <c r="L5" s="3122"/>
      <c r="M5" s="3122"/>
      <c r="N5" s="3122"/>
      <c r="O5" s="3122"/>
      <c r="P5" s="3122"/>
      <c r="Q5" s="3122"/>
      <c r="R5" s="3122"/>
    </row>
    <row r="6" spans="1:18">
      <c r="A6" s="3127"/>
      <c r="B6" s="3130" t="s">
        <v>1645</v>
      </c>
      <c r="C6" s="3602" t="s">
        <v>3273</v>
      </c>
      <c r="D6" s="3126"/>
      <c r="E6" s="3131"/>
      <c r="F6" s="3130" t="s">
        <v>2527</v>
      </c>
      <c r="G6" s="3133" t="s">
        <v>2881</v>
      </c>
      <c r="H6" s="3122"/>
      <c r="I6" s="3122"/>
      <c r="J6" s="3122"/>
      <c r="K6" s="3122"/>
      <c r="L6" s="3122"/>
      <c r="M6" s="3122"/>
      <c r="N6" s="3122"/>
      <c r="O6" s="3122"/>
      <c r="P6" s="3122"/>
      <c r="Q6" s="3122"/>
      <c r="R6" s="3122"/>
    </row>
    <row r="7" spans="1:18" ht="27.75" thickBot="1">
      <c r="A7" s="3127"/>
      <c r="B7" s="3130" t="s">
        <v>2526</v>
      </c>
      <c r="C7" s="3602" t="s">
        <v>3273</v>
      </c>
      <c r="D7" s="3134"/>
      <c r="E7" s="3135"/>
      <c r="F7" s="3136" t="s">
        <v>1660</v>
      </c>
      <c r="G7" s="3137" t="s">
        <v>2884</v>
      </c>
      <c r="H7" s="3122"/>
      <c r="I7" s="3122"/>
      <c r="J7" s="3122"/>
      <c r="K7" s="3122"/>
      <c r="L7" s="3122"/>
      <c r="M7" s="3122"/>
      <c r="N7" s="3122"/>
      <c r="O7" s="3122"/>
      <c r="P7" s="3122"/>
      <c r="Q7" s="3122"/>
      <c r="R7" s="3122"/>
    </row>
    <row r="8" spans="1:18">
      <c r="A8" s="3127"/>
      <c r="B8" s="3130" t="s">
        <v>2527</v>
      </c>
      <c r="C8" s="3602" t="s">
        <v>3275</v>
      </c>
      <c r="D8" s="3134"/>
      <c r="E8" s="3134"/>
      <c r="F8" s="3138"/>
      <c r="G8" s="3138"/>
      <c r="H8" s="3122"/>
      <c r="I8" s="3122"/>
      <c r="J8" s="3122"/>
      <c r="K8" s="3122"/>
      <c r="L8" s="3122"/>
      <c r="M8" s="3122"/>
      <c r="N8" s="3122"/>
      <c r="O8" s="3122"/>
      <c r="P8" s="3122"/>
      <c r="Q8" s="3122"/>
      <c r="R8" s="3122"/>
    </row>
    <row r="9" spans="1:18">
      <c r="A9" s="3127"/>
      <c r="B9" s="3130" t="s">
        <v>1646</v>
      </c>
      <c r="C9" s="3601" t="s">
        <v>3273</v>
      </c>
      <c r="D9" s="3126"/>
      <c r="E9" s="3134"/>
      <c r="F9" s="3138"/>
      <c r="G9" s="3138"/>
      <c r="H9" s="3122"/>
      <c r="I9" s="3122"/>
      <c r="J9" s="3122"/>
      <c r="K9" s="3122"/>
      <c r="L9" s="3122"/>
      <c r="M9" s="3122"/>
      <c r="N9" s="3122"/>
      <c r="O9" s="3122"/>
      <c r="P9" s="3122"/>
      <c r="Q9" s="3122"/>
      <c r="R9" s="3122"/>
    </row>
    <row r="10" spans="1:18" s="3145" customFormat="1" ht="15" thickBot="1">
      <c r="A10" s="3139"/>
      <c r="B10" s="3140" t="s">
        <v>1661</v>
      </c>
      <c r="C10" s="3141"/>
      <c r="D10" s="3126"/>
      <c r="E10" s="3126"/>
      <c r="F10" s="3138"/>
      <c r="G10" s="3138"/>
      <c r="H10" s="3142"/>
      <c r="I10" s="3143"/>
      <c r="J10" s="3144"/>
      <c r="K10" s="3142"/>
      <c r="L10" s="3143"/>
      <c r="M10" s="3144"/>
      <c r="N10" s="3142"/>
      <c r="O10" s="3143"/>
      <c r="P10" s="3144"/>
      <c r="Q10" s="3142"/>
      <c r="R10" s="3143"/>
    </row>
    <row r="11" spans="1:18" s="3145" customFormat="1">
      <c r="A11" s="3146"/>
      <c r="B11" s="3134"/>
      <c r="C11" s="3126"/>
      <c r="D11" s="3126"/>
      <c r="E11" s="3126"/>
      <c r="F11" s="3134"/>
      <c r="G11" s="3147"/>
      <c r="H11" s="3142"/>
      <c r="I11" s="3143"/>
      <c r="J11" s="3144"/>
      <c r="K11" s="3142"/>
      <c r="L11" s="3143"/>
      <c r="M11" s="3144"/>
      <c r="N11" s="3142"/>
      <c r="O11" s="3143"/>
      <c r="P11" s="3144"/>
      <c r="Q11" s="3142"/>
      <c r="R11" s="3143"/>
    </row>
    <row r="12" spans="1:18" s="3116" customFormat="1" ht="18.75">
      <c r="A12" s="3146"/>
      <c r="B12" s="3134"/>
      <c r="C12" s="3126"/>
      <c r="D12" s="3148"/>
      <c r="E12" s="3126"/>
      <c r="F12" s="3134"/>
      <c r="G12" s="3147"/>
      <c r="H12" s="3149"/>
      <c r="I12" s="3150"/>
      <c r="J12" s="3149"/>
      <c r="K12" s="3149"/>
      <c r="L12" s="3151"/>
      <c r="M12" s="3149"/>
      <c r="N12" s="3152"/>
      <c r="O12" s="3153"/>
      <c r="P12" s="3154"/>
      <c r="Q12" s="3152"/>
      <c r="R12" s="3115"/>
    </row>
    <row r="13" spans="1:18" ht="19.5" thickBot="1">
      <c r="A13" s="3155" t="s">
        <v>1662</v>
      </c>
      <c r="B13" s="3148"/>
      <c r="C13" s="3148"/>
      <c r="D13" s="3120"/>
      <c r="E13" s="3148"/>
      <c r="F13" s="3148"/>
      <c r="G13" s="3148"/>
    </row>
    <row r="14" spans="1:18" ht="14.25" thickBot="1">
      <c r="A14" s="3160"/>
      <c r="B14" s="3160"/>
      <c r="C14" s="3161" t="s">
        <v>1654</v>
      </c>
      <c r="D14" s="3126"/>
      <c r="E14" s="3162"/>
      <c r="F14" s="3162"/>
      <c r="G14" s="3119" t="s">
        <v>1655</v>
      </c>
    </row>
    <row r="15" spans="1:18" ht="40.5">
      <c r="A15" s="3163" t="s">
        <v>1647</v>
      </c>
      <c r="B15" s="3164" t="s">
        <v>1643</v>
      </c>
      <c r="C15" s="3165">
        <f>C3</f>
        <v>0</v>
      </c>
      <c r="D15" s="3126"/>
      <c r="E15" s="3166" t="s">
        <v>1648</v>
      </c>
      <c r="F15" s="3164" t="s">
        <v>1663</v>
      </c>
      <c r="G15" s="3167" t="str">
        <f>G3</f>
        <v>估价对象位于XX开发区，园区建设成熟度XX，产业集聚程度XX</v>
      </c>
    </row>
    <row r="16" spans="1:18" ht="40.5">
      <c r="A16" s="3168"/>
      <c r="B16" s="3169" t="s">
        <v>1657</v>
      </c>
      <c r="C16" s="3170" t="str">
        <f>C4</f>
        <v>一般</v>
      </c>
      <c r="D16" s="3126"/>
      <c r="E16" s="3171"/>
      <c r="F16" s="3172" t="s">
        <v>1658</v>
      </c>
      <c r="G16" s="3173" t="str">
        <f>G4</f>
        <v>估价对象周边道路状况、公共交通通达情况、停车便捷程度，综合评价交通便捷度较好</v>
      </c>
    </row>
    <row r="17" spans="1:7" ht="40.5">
      <c r="A17" s="3168"/>
      <c r="B17" s="3169" t="s">
        <v>1659</v>
      </c>
      <c r="C17" s="3170" t="str">
        <f>C5</f>
        <v>较好</v>
      </c>
      <c r="D17" s="3134"/>
      <c r="E17" s="3171"/>
      <c r="F17" s="3172" t="s">
        <v>1664</v>
      </c>
      <c r="G17" s="3174"/>
    </row>
    <row r="18" spans="1:7" ht="40.5">
      <c r="A18" s="3168"/>
      <c r="B18" s="3172" t="s">
        <v>1645</v>
      </c>
      <c r="C18" s="3173" t="str">
        <f>C6</f>
        <v>较好</v>
      </c>
      <c r="D18" s="3134"/>
      <c r="E18" s="3171"/>
      <c r="F18" s="3172" t="s">
        <v>1660</v>
      </c>
      <c r="G18" s="3173" t="str">
        <f>G7</f>
        <v>该园区内是否有污染型企业，绿化情况，卫生条件，整体环境状况判断</v>
      </c>
    </row>
    <row r="19" spans="1:7" ht="27">
      <c r="A19" s="3168"/>
      <c r="B19" s="3172" t="s">
        <v>1649</v>
      </c>
      <c r="C19" s="3174"/>
      <c r="D19" s="3126"/>
      <c r="E19" s="3171"/>
      <c r="F19" s="3130" t="s">
        <v>2526</v>
      </c>
      <c r="G19" s="3173" t="str">
        <f>G5</f>
        <v>估价对象所在区域公共配套设施齐备情况</v>
      </c>
    </row>
    <row r="20" spans="1:7" ht="27">
      <c r="A20" s="3168"/>
      <c r="B20" s="3172" t="s">
        <v>1650</v>
      </c>
      <c r="C20" s="3170" t="str">
        <f>C9</f>
        <v>较好</v>
      </c>
      <c r="D20" s="3134"/>
      <c r="E20" s="3171"/>
      <c r="F20" s="3130" t="s">
        <v>2527</v>
      </c>
      <c r="G20" s="3173" t="str">
        <f>G6</f>
        <v>估价对象所在区域基础设施水平</v>
      </c>
    </row>
    <row r="21" spans="1:7" ht="27">
      <c r="A21" s="3168"/>
      <c r="B21" s="3130" t="s">
        <v>2526</v>
      </c>
      <c r="C21" s="3173" t="str">
        <f>C7</f>
        <v>较好</v>
      </c>
      <c r="D21" s="3126"/>
      <c r="E21" s="3171"/>
      <c r="F21" s="3172" t="s">
        <v>1651</v>
      </c>
      <c r="G21" s="3175"/>
    </row>
    <row r="22" spans="1:7" ht="14.25">
      <c r="A22" s="3168"/>
      <c r="B22" s="3130" t="s">
        <v>2527</v>
      </c>
      <c r="C22" s="3173" t="str">
        <f>C8</f>
        <v>七通</v>
      </c>
      <c r="D22" s="3126"/>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X50" sqref="X50"/>
    </sheetView>
  </sheetViews>
  <sheetFormatPr defaultColWidth="14.625" defaultRowHeight="13.5"/>
  <cols>
    <col min="1" max="1" width="24.375" style="3184" customWidth="1"/>
    <col min="2" max="16384" width="14.625" style="3184"/>
  </cols>
  <sheetData>
    <row r="1" spans="1:10" ht="16.5">
      <c r="A1" s="3183" t="s">
        <v>2822</v>
      </c>
      <c r="B1" s="3183">
        <f>SUM(B14:B23)</f>
        <v>68200</v>
      </c>
      <c r="C1" s="3192"/>
      <c r="D1" s="3192"/>
      <c r="E1" s="3192"/>
      <c r="F1" s="3192"/>
      <c r="G1" s="3193"/>
      <c r="H1" s="3193"/>
      <c r="I1" s="3193"/>
      <c r="J1" s="3193"/>
    </row>
    <row r="2" spans="1:10" ht="16.5">
      <c r="A2" s="3183" t="s">
        <v>2823</v>
      </c>
      <c r="B2" s="3183">
        <f>SUM(C14:C23)</f>
        <v>17997.97</v>
      </c>
      <c r="C2" s="3192"/>
      <c r="D2" s="3192"/>
      <c r="E2" s="3192"/>
      <c r="F2" s="3192"/>
      <c r="G2" s="3193"/>
      <c r="H2" s="3193"/>
      <c r="I2" s="3193"/>
      <c r="J2" s="3193"/>
    </row>
    <row r="3" spans="1:10" ht="16.5">
      <c r="A3" s="3183" t="s">
        <v>2824</v>
      </c>
      <c r="B3" s="3185">
        <f>项目基本情况!D3</f>
        <v>44448</v>
      </c>
      <c r="C3" s="3192"/>
      <c r="D3" s="3192"/>
      <c r="E3" s="3192"/>
      <c r="F3" s="3192"/>
      <c r="G3" s="3193"/>
      <c r="H3" s="3193"/>
      <c r="I3" s="3193"/>
      <c r="J3" s="3193"/>
    </row>
    <row r="4" spans="1:10" ht="33">
      <c r="A4" s="3183" t="s">
        <v>2825</v>
      </c>
      <c r="B4" s="3183" t="s">
        <v>2826</v>
      </c>
      <c r="C4" s="3183" t="s">
        <v>2827</v>
      </c>
      <c r="D4" s="3183" t="s">
        <v>2828</v>
      </c>
      <c r="E4" s="3192"/>
      <c r="F4" s="3192"/>
      <c r="G4" s="3193"/>
      <c r="H4" s="3193"/>
      <c r="I4" s="3193"/>
      <c r="J4" s="3193"/>
    </row>
    <row r="5" spans="1:10" ht="16.5">
      <c r="A5" s="3183" t="s">
        <v>2829</v>
      </c>
      <c r="B5" s="3183">
        <f ca="1">SUM(D14:D23)</f>
        <v>50529</v>
      </c>
      <c r="C5" s="3183">
        <f ca="1">ROUND(B5*10000/$B$1,0)</f>
        <v>7409</v>
      </c>
      <c r="D5" s="3183">
        <f ca="1">ROUND(B5*10000/$B$2,0)</f>
        <v>28075</v>
      </c>
      <c r="E5" s="3192"/>
      <c r="F5" s="3192"/>
      <c r="G5" s="3193"/>
      <c r="H5" s="3193"/>
      <c r="I5" s="3193"/>
      <c r="J5" s="3193"/>
    </row>
    <row r="6" spans="1:10" ht="16.5">
      <c r="A6" s="3183" t="s">
        <v>2830</v>
      </c>
      <c r="B6" s="3183">
        <f ca="1">SUM(G14:G23)</f>
        <v>50529</v>
      </c>
      <c r="C6" s="3183">
        <f t="shared" ref="C6:C8" ca="1" si="0">ROUND(B6*10000/$B$1,0)</f>
        <v>7409</v>
      </c>
      <c r="D6" s="3183">
        <f t="shared" ref="D6:D8" ca="1" si="1">ROUND(B6*10000/$B$2,0)</f>
        <v>28075</v>
      </c>
      <c r="E6" s="3192"/>
      <c r="F6" s="3192"/>
      <c r="G6" s="3193"/>
      <c r="H6" s="3193"/>
      <c r="I6" s="3193"/>
      <c r="J6" s="3193"/>
    </row>
    <row r="7" spans="1:10" ht="16.5">
      <c r="A7" s="3183" t="s">
        <v>2831</v>
      </c>
      <c r="B7" s="3183">
        <f>SUM(H14:H23)</f>
        <v>0</v>
      </c>
      <c r="C7" s="3183">
        <f t="shared" si="0"/>
        <v>0</v>
      </c>
      <c r="D7" s="3183">
        <f t="shared" si="1"/>
        <v>0</v>
      </c>
      <c r="E7" s="3192"/>
      <c r="F7" s="3192"/>
      <c r="G7" s="3193"/>
      <c r="H7" s="3193"/>
      <c r="I7" s="3193"/>
      <c r="J7" s="3193"/>
    </row>
    <row r="8" spans="1:10" ht="16.5">
      <c r="A8" s="3183" t="s">
        <v>2832</v>
      </c>
      <c r="B8" s="3183">
        <f>SUM(I14:I23)</f>
        <v>0</v>
      </c>
      <c r="C8" s="3183">
        <f t="shared" si="0"/>
        <v>0</v>
      </c>
      <c r="D8" s="3183">
        <f t="shared" si="1"/>
        <v>0</v>
      </c>
      <c r="E8" s="3192"/>
      <c r="F8" s="3192"/>
      <c r="G8" s="3193"/>
      <c r="H8" s="3193"/>
      <c r="I8" s="3193"/>
      <c r="J8" s="3193"/>
    </row>
    <row r="9" spans="1:10" ht="16.5">
      <c r="A9" s="3183" t="s">
        <v>2833</v>
      </c>
      <c r="B9" s="3191"/>
      <c r="C9" s="3192"/>
      <c r="D9" s="3192"/>
      <c r="E9" s="3192"/>
      <c r="F9" s="3192"/>
      <c r="G9" s="3193"/>
      <c r="H9" s="3193"/>
      <c r="I9" s="3193"/>
      <c r="J9" s="3193"/>
    </row>
    <row r="10" spans="1:10" ht="16.5">
      <c r="A10" s="3183" t="s">
        <v>2834</v>
      </c>
      <c r="B10" s="3191"/>
      <c r="C10" s="3192"/>
      <c r="D10" s="3192"/>
      <c r="E10" s="3192"/>
      <c r="F10" s="3192"/>
      <c r="G10" s="3193"/>
      <c r="H10" s="3193"/>
      <c r="I10" s="3193"/>
      <c r="J10" s="3193"/>
    </row>
    <row r="11" spans="1:10" ht="16.5">
      <c r="A11" s="3183" t="s">
        <v>2851</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2850</v>
      </c>
      <c r="B13" s="3187" t="s">
        <v>2822</v>
      </c>
      <c r="C13" s="3187" t="s">
        <v>2823</v>
      </c>
      <c r="D13" s="3187" t="s">
        <v>2835</v>
      </c>
      <c r="E13" s="3183" t="s">
        <v>2849</v>
      </c>
      <c r="F13" s="3183" t="s">
        <v>2828</v>
      </c>
      <c r="G13" s="3187" t="s">
        <v>2836</v>
      </c>
      <c r="H13" s="3187" t="s">
        <v>2837</v>
      </c>
      <c r="I13" s="3187" t="s">
        <v>2838</v>
      </c>
      <c r="J13" s="3193"/>
    </row>
    <row r="14" spans="1:10" ht="16.5">
      <c r="A14" s="3188" t="s">
        <v>2848</v>
      </c>
      <c r="B14" s="3189">
        <f>结果表!L38</f>
        <v>68200</v>
      </c>
      <c r="C14" s="3189">
        <f>结果表!K38</f>
        <v>17997.97</v>
      </c>
      <c r="D14" s="3189">
        <f ca="1">结果表!C42</f>
        <v>50529</v>
      </c>
      <c r="E14" s="3189">
        <f ca="1">ROUND(D14*10000/B14,0)</f>
        <v>7409</v>
      </c>
      <c r="F14" s="3189">
        <f ca="1">ROUND(D14*10000/C14,0)</f>
        <v>28075</v>
      </c>
      <c r="G14" s="3189">
        <f ca="1">结果表!C44</f>
        <v>50529</v>
      </c>
      <c r="H14" s="3189" t="str">
        <f>结果表!C45</f>
        <v>——</v>
      </c>
      <c r="I14" s="3189" t="str">
        <f>结果表!C46</f>
        <v>——</v>
      </c>
      <c r="J14" s="3193"/>
    </row>
    <row r="15" spans="1:10" ht="16.5">
      <c r="A15" s="3188" t="s">
        <v>2839</v>
      </c>
      <c r="B15" s="3190"/>
      <c r="C15" s="3190"/>
      <c r="D15" s="3190"/>
      <c r="E15" s="3189" t="e">
        <f t="shared" ref="E15:E23" si="2">ROUND(D15*10000/B15,0)</f>
        <v>#DIV/0!</v>
      </c>
      <c r="F15" s="3189" t="e">
        <f t="shared" ref="F15:F23" si="3">ROUND(D15*10000/C15,0)</f>
        <v>#DIV/0!</v>
      </c>
      <c r="G15" s="2756"/>
      <c r="H15" s="2756"/>
      <c r="I15" s="3190"/>
      <c r="J15" s="3193"/>
    </row>
    <row r="16" spans="1:10" ht="16.5">
      <c r="A16" s="3188" t="s">
        <v>2840</v>
      </c>
      <c r="B16" s="3190"/>
      <c r="C16" s="3190"/>
      <c r="D16" s="3190"/>
      <c r="E16" s="3189" t="e">
        <f t="shared" si="2"/>
        <v>#DIV/0!</v>
      </c>
      <c r="F16" s="3189" t="e">
        <f t="shared" si="3"/>
        <v>#DIV/0!</v>
      </c>
      <c r="G16" s="2756"/>
      <c r="H16" s="2756"/>
      <c r="I16" s="3190"/>
      <c r="J16" s="3193"/>
    </row>
    <row r="17" spans="1:10" ht="16.5">
      <c r="A17" s="3188" t="s">
        <v>2841</v>
      </c>
      <c r="B17" s="3190"/>
      <c r="C17" s="3190"/>
      <c r="D17" s="3190"/>
      <c r="E17" s="3189" t="e">
        <f t="shared" si="2"/>
        <v>#DIV/0!</v>
      </c>
      <c r="F17" s="3189" t="e">
        <f t="shared" si="3"/>
        <v>#DIV/0!</v>
      </c>
      <c r="G17" s="2756"/>
      <c r="H17" s="2756"/>
      <c r="I17" s="3190"/>
      <c r="J17" s="3193"/>
    </row>
    <row r="18" spans="1:10" ht="16.5">
      <c r="A18" s="3188" t="s">
        <v>2842</v>
      </c>
      <c r="B18" s="3190"/>
      <c r="C18" s="3190"/>
      <c r="D18" s="3190"/>
      <c r="E18" s="3189" t="e">
        <f t="shared" si="2"/>
        <v>#DIV/0!</v>
      </c>
      <c r="F18" s="3189" t="e">
        <f t="shared" si="3"/>
        <v>#DIV/0!</v>
      </c>
      <c r="G18" s="3190"/>
      <c r="H18" s="3190"/>
      <c r="I18" s="3190"/>
      <c r="J18" s="3193"/>
    </row>
    <row r="19" spans="1:10" ht="16.5">
      <c r="A19" s="3188" t="s">
        <v>2843</v>
      </c>
      <c r="B19" s="3190"/>
      <c r="C19" s="3190"/>
      <c r="D19" s="3190"/>
      <c r="E19" s="3189" t="e">
        <f t="shared" si="2"/>
        <v>#DIV/0!</v>
      </c>
      <c r="F19" s="3189" t="e">
        <f t="shared" si="3"/>
        <v>#DIV/0!</v>
      </c>
      <c r="G19" s="3190"/>
      <c r="H19" s="3190"/>
      <c r="I19" s="3190"/>
      <c r="J19" s="3193"/>
    </row>
    <row r="20" spans="1:10" ht="16.5">
      <c r="A20" s="3188" t="s">
        <v>2844</v>
      </c>
      <c r="B20" s="3190"/>
      <c r="C20" s="3190"/>
      <c r="D20" s="3190"/>
      <c r="E20" s="3189" t="e">
        <f t="shared" si="2"/>
        <v>#DIV/0!</v>
      </c>
      <c r="F20" s="3189" t="e">
        <f t="shared" si="3"/>
        <v>#DIV/0!</v>
      </c>
      <c r="G20" s="3190"/>
      <c r="H20" s="3190"/>
      <c r="I20" s="3190"/>
      <c r="J20" s="3193"/>
    </row>
    <row r="21" spans="1:10" ht="16.5">
      <c r="A21" s="3188" t="s">
        <v>2845</v>
      </c>
      <c r="B21" s="3190"/>
      <c r="C21" s="3190"/>
      <c r="D21" s="3190"/>
      <c r="E21" s="3189" t="e">
        <f t="shared" si="2"/>
        <v>#DIV/0!</v>
      </c>
      <c r="F21" s="3189" t="e">
        <f t="shared" si="3"/>
        <v>#DIV/0!</v>
      </c>
      <c r="G21" s="3190"/>
      <c r="H21" s="3190"/>
      <c r="I21" s="3190"/>
      <c r="J21" s="3193"/>
    </row>
    <row r="22" spans="1:10" ht="16.5">
      <c r="A22" s="3188" t="s">
        <v>2846</v>
      </c>
      <c r="B22" s="3190"/>
      <c r="C22" s="3190"/>
      <c r="D22" s="3190"/>
      <c r="E22" s="3189" t="e">
        <f t="shared" si="2"/>
        <v>#DIV/0!</v>
      </c>
      <c r="F22" s="3189" t="e">
        <f t="shared" si="3"/>
        <v>#DIV/0!</v>
      </c>
      <c r="G22" s="3190"/>
      <c r="H22" s="3190"/>
      <c r="I22" s="3190"/>
      <c r="J22" s="3193"/>
    </row>
    <row r="23" spans="1:10" ht="16.5">
      <c r="A23" s="3188" t="s">
        <v>2847</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90" zoomScaleNormal="100" zoomScaleSheetLayoutView="90" zoomScalePageLayoutView="80" workbookViewId="0">
      <selection activeCell="X50" sqref="X50"/>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29" t="str">
        <f>项目基本情况!K2</f>
        <v>北京市北京经济技术开发区核心区67#街区67F1地块出让国有建设用地使用权</v>
      </c>
      <c r="B2" s="3430"/>
      <c r="C2" s="3431"/>
      <c r="D2" s="3431"/>
      <c r="E2" s="3431"/>
      <c r="F2" s="3431"/>
      <c r="G2" s="3430"/>
      <c r="H2" s="3430"/>
      <c r="I2" s="3432"/>
      <c r="J2" s="1912"/>
      <c r="K2" s="1911"/>
      <c r="L2" s="1911"/>
      <c r="M2" s="1911"/>
      <c r="N2" s="1911"/>
      <c r="O2" s="1911"/>
      <c r="P2" s="1911"/>
      <c r="Q2" s="1911"/>
      <c r="R2" s="1911"/>
      <c r="S2" s="1911"/>
      <c r="T2" s="1911"/>
      <c r="U2" s="1911"/>
      <c r="V2" s="1911"/>
    </row>
    <row r="3" spans="1:22" ht="14.25">
      <c r="A3" s="3440" t="s">
        <v>297</v>
      </c>
      <c r="B3" s="3441"/>
      <c r="C3" s="3441"/>
      <c r="D3" s="3441"/>
      <c r="E3" s="3441"/>
      <c r="F3" s="3441"/>
      <c r="G3" s="3441"/>
      <c r="H3" s="3441"/>
      <c r="I3" s="3441"/>
      <c r="J3" s="1912"/>
      <c r="K3" s="1911"/>
      <c r="L3" s="1911"/>
      <c r="M3" s="1911"/>
      <c r="N3" s="1911"/>
      <c r="O3" s="1911"/>
      <c r="P3" s="1911"/>
      <c r="Q3" s="1911"/>
      <c r="R3" s="1911"/>
      <c r="S3" s="1911"/>
      <c r="T3" s="1911"/>
      <c r="U3" s="1911"/>
      <c r="V3" s="1911"/>
    </row>
    <row r="4" spans="1:22" ht="14.25">
      <c r="A4" s="256" t="s">
        <v>298</v>
      </c>
      <c r="B4" s="257" t="s">
        <v>299</v>
      </c>
      <c r="C4" s="258" t="s">
        <v>3262</v>
      </c>
      <c r="D4" s="258" t="s">
        <v>3263</v>
      </c>
      <c r="E4" s="3404" t="s">
        <v>300</v>
      </c>
      <c r="F4" s="3446"/>
      <c r="G4" s="3446"/>
      <c r="H4" s="3446"/>
      <c r="I4" s="3405"/>
      <c r="J4" s="1912"/>
      <c r="K4" s="1911"/>
      <c r="L4" s="3194"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433" t="s">
        <v>301</v>
      </c>
      <c r="B5" s="3434">
        <v>25</v>
      </c>
      <c r="C5" s="3442"/>
      <c r="D5" s="3445"/>
      <c r="E5" s="259" t="s">
        <v>302</v>
      </c>
      <c r="F5" s="260"/>
      <c r="G5" s="260"/>
      <c r="H5" s="260"/>
      <c r="I5" s="261"/>
      <c r="J5" s="1912"/>
      <c r="K5" s="1911"/>
      <c r="L5" s="1911"/>
      <c r="M5" s="1911"/>
      <c r="N5" s="1911"/>
      <c r="O5" s="1911"/>
      <c r="P5" s="1911"/>
      <c r="Q5" s="1911"/>
      <c r="R5" s="1911"/>
      <c r="S5" s="1911"/>
      <c r="T5" s="1911"/>
      <c r="U5" s="1911"/>
      <c r="V5" s="1911"/>
    </row>
    <row r="6" spans="1:22" ht="14.25">
      <c r="A6" s="3433"/>
      <c r="B6" s="3434"/>
      <c r="C6" s="3443"/>
      <c r="D6" s="3445"/>
      <c r="E6" s="259" t="s">
        <v>303</v>
      </c>
      <c r="F6" s="260"/>
      <c r="G6" s="260"/>
      <c r="H6" s="260"/>
      <c r="I6" s="261"/>
      <c r="J6" s="1912"/>
      <c r="K6" s="1911"/>
      <c r="L6" s="1911"/>
      <c r="M6" s="1911"/>
      <c r="N6" s="1911"/>
      <c r="O6" s="1911"/>
      <c r="P6" s="1911"/>
      <c r="Q6" s="1911"/>
      <c r="R6" s="1911"/>
      <c r="S6" s="1911"/>
      <c r="T6" s="1911"/>
      <c r="U6" s="1911"/>
      <c r="V6" s="1911"/>
    </row>
    <row r="7" spans="1:22" ht="14.25">
      <c r="A7" s="3433"/>
      <c r="B7" s="3434"/>
      <c r="C7" s="3444"/>
      <c r="D7" s="3445"/>
      <c r="E7" s="259" t="s">
        <v>304</v>
      </c>
      <c r="F7" s="260"/>
      <c r="G7" s="260"/>
      <c r="H7" s="260"/>
      <c r="I7" s="261"/>
      <c r="J7" s="1912"/>
      <c r="K7" s="1911"/>
      <c r="L7" s="1911"/>
      <c r="M7" s="1911"/>
      <c r="N7" s="1911"/>
      <c r="O7" s="1911"/>
      <c r="P7" s="1911"/>
      <c r="Q7" s="1911"/>
      <c r="R7" s="1911"/>
      <c r="S7" s="1911"/>
      <c r="T7" s="1911"/>
      <c r="U7" s="1911"/>
      <c r="V7" s="1911"/>
    </row>
    <row r="8" spans="1:22" ht="14.25">
      <c r="A8" s="3433" t="s">
        <v>305</v>
      </c>
      <c r="B8" s="3434">
        <v>15</v>
      </c>
      <c r="C8" s="3442"/>
      <c r="D8" s="3445"/>
      <c r="E8" s="259" t="s">
        <v>306</v>
      </c>
      <c r="F8" s="260"/>
      <c r="G8" s="260"/>
      <c r="H8" s="260"/>
      <c r="I8" s="261"/>
      <c r="J8" s="1912"/>
      <c r="K8" s="1911"/>
      <c r="L8" s="1911"/>
      <c r="M8" s="1911"/>
      <c r="N8" s="1911"/>
      <c r="O8" s="1911"/>
      <c r="P8" s="1911"/>
      <c r="Q8" s="1911"/>
      <c r="R8" s="1911"/>
      <c r="S8" s="1911"/>
      <c r="T8" s="1911"/>
      <c r="U8" s="1911"/>
      <c r="V8" s="1911"/>
    </row>
    <row r="9" spans="1:22" ht="14.25">
      <c r="A9" s="3433"/>
      <c r="B9" s="3434"/>
      <c r="C9" s="3444"/>
      <c r="D9" s="3445"/>
      <c r="E9" s="259" t="s">
        <v>307</v>
      </c>
      <c r="F9" s="260"/>
      <c r="G9" s="260"/>
      <c r="H9" s="260"/>
      <c r="I9" s="261"/>
      <c r="J9" s="1912"/>
      <c r="K9" s="1911"/>
      <c r="L9" s="1911"/>
      <c r="M9" s="1911"/>
      <c r="N9" s="1911"/>
      <c r="O9" s="1911"/>
      <c r="P9" s="1911"/>
      <c r="Q9" s="1911"/>
      <c r="R9" s="1911"/>
      <c r="S9" s="1911"/>
      <c r="T9" s="1911"/>
      <c r="U9" s="1911"/>
      <c r="V9" s="1911"/>
    </row>
    <row r="10" spans="1:22" ht="14.25">
      <c r="A10" s="3433" t="s">
        <v>308</v>
      </c>
      <c r="B10" s="3434">
        <v>15</v>
      </c>
      <c r="C10" s="3442"/>
      <c r="D10" s="3445"/>
      <c r="E10" s="259" t="s">
        <v>309</v>
      </c>
      <c r="F10" s="260"/>
      <c r="G10" s="260"/>
      <c r="H10" s="260"/>
      <c r="I10" s="261"/>
      <c r="J10" s="1912"/>
      <c r="K10" s="1911"/>
      <c r="L10" s="1911"/>
      <c r="M10" s="1911"/>
      <c r="N10" s="1911"/>
      <c r="O10" s="1911"/>
      <c r="P10" s="1911"/>
      <c r="Q10" s="1911"/>
      <c r="R10" s="1911"/>
      <c r="S10" s="1911"/>
      <c r="T10" s="1911"/>
      <c r="U10" s="1911"/>
      <c r="V10" s="1911"/>
    </row>
    <row r="11" spans="1:22" ht="14.25">
      <c r="A11" s="3433"/>
      <c r="B11" s="3434"/>
      <c r="C11" s="3444"/>
      <c r="D11" s="3445"/>
      <c r="E11" s="259" t="s">
        <v>310</v>
      </c>
      <c r="F11" s="260"/>
      <c r="G11" s="260"/>
      <c r="H11" s="260"/>
      <c r="I11" s="261"/>
      <c r="J11" s="1912"/>
      <c r="K11" s="1911"/>
      <c r="L11" s="1911"/>
      <c r="M11" s="1911"/>
      <c r="N11" s="1911"/>
      <c r="O11" s="1911"/>
      <c r="P11" s="1911"/>
      <c r="Q11" s="1911"/>
      <c r="R11" s="1911"/>
      <c r="S11" s="1911"/>
      <c r="T11" s="1911"/>
      <c r="U11" s="1911"/>
      <c r="V11" s="1911"/>
    </row>
    <row r="12" spans="1:22" ht="14.25">
      <c r="A12" s="3433" t="s">
        <v>311</v>
      </c>
      <c r="B12" s="3434">
        <v>15</v>
      </c>
      <c r="C12" s="3442"/>
      <c r="D12" s="3445"/>
      <c r="E12" s="259" t="s">
        <v>312</v>
      </c>
      <c r="F12" s="260"/>
      <c r="G12" s="260"/>
      <c r="H12" s="260"/>
      <c r="I12" s="261"/>
      <c r="J12" s="1912"/>
      <c r="K12" s="1911"/>
      <c r="L12" s="1911"/>
      <c r="M12" s="1911"/>
      <c r="N12" s="1911"/>
      <c r="O12" s="1911"/>
      <c r="P12" s="1911"/>
      <c r="Q12" s="1911"/>
      <c r="R12" s="1911"/>
      <c r="S12" s="1911"/>
      <c r="T12" s="1911"/>
      <c r="U12" s="1911"/>
      <c r="V12" s="1911"/>
    </row>
    <row r="13" spans="1:22" ht="14.25">
      <c r="A13" s="3433"/>
      <c r="B13" s="3434"/>
      <c r="C13" s="3444"/>
      <c r="D13" s="3445"/>
      <c r="E13" s="259" t="s">
        <v>313</v>
      </c>
      <c r="F13" s="260"/>
      <c r="G13" s="260"/>
      <c r="H13" s="260"/>
      <c r="I13" s="261"/>
      <c r="J13" s="1912"/>
      <c r="K13" s="1911"/>
      <c r="L13" s="1911"/>
      <c r="M13" s="1911"/>
      <c r="N13" s="1911"/>
      <c r="O13" s="1911"/>
      <c r="P13" s="1911"/>
      <c r="Q13" s="1911"/>
      <c r="R13" s="1911"/>
      <c r="S13" s="1911"/>
      <c r="T13" s="1911"/>
      <c r="U13" s="1911"/>
      <c r="V13" s="1911"/>
    </row>
    <row r="14" spans="1:22" ht="14.25">
      <c r="A14" s="3433" t="s">
        <v>314</v>
      </c>
      <c r="B14" s="3434">
        <v>30</v>
      </c>
      <c r="C14" s="3442">
        <v>5</v>
      </c>
      <c r="D14" s="3445">
        <v>5</v>
      </c>
      <c r="E14" s="259" t="s">
        <v>315</v>
      </c>
      <c r="F14" s="260"/>
      <c r="G14" s="260"/>
      <c r="H14" s="260"/>
      <c r="I14" s="261"/>
      <c r="J14" s="1912"/>
      <c r="K14" s="1911"/>
      <c r="L14" s="1911"/>
      <c r="M14" s="1911"/>
      <c r="N14" s="1911"/>
      <c r="O14" s="1911"/>
      <c r="P14" s="1911"/>
      <c r="Q14" s="1911"/>
      <c r="R14" s="1911"/>
      <c r="S14" s="1911"/>
      <c r="T14" s="1911"/>
      <c r="U14" s="1911"/>
      <c r="V14" s="1911"/>
    </row>
    <row r="15" spans="1:22" ht="14.25">
      <c r="A15" s="3433"/>
      <c r="B15" s="3434"/>
      <c r="C15" s="3443"/>
      <c r="D15" s="3445"/>
      <c r="E15" s="259" t="s">
        <v>316</v>
      </c>
      <c r="F15" s="260"/>
      <c r="G15" s="260"/>
      <c r="H15" s="260"/>
      <c r="I15" s="261"/>
      <c r="J15" s="1912"/>
      <c r="K15" s="1911"/>
      <c r="L15" s="1911"/>
      <c r="M15" s="1911"/>
      <c r="N15" s="1911"/>
      <c r="O15" s="1911"/>
      <c r="P15" s="1911"/>
      <c r="Q15" s="1911"/>
      <c r="R15" s="1911"/>
      <c r="S15" s="1911"/>
      <c r="T15" s="1911"/>
      <c r="U15" s="1911"/>
      <c r="V15" s="1911"/>
    </row>
    <row r="16" spans="1:22" ht="14.25">
      <c r="A16" s="3433"/>
      <c r="B16" s="3434"/>
      <c r="C16" s="3444"/>
      <c r="D16" s="3445"/>
      <c r="E16" s="259" t="s">
        <v>317</v>
      </c>
      <c r="F16" s="260"/>
      <c r="G16" s="260"/>
      <c r="H16" s="260"/>
      <c r="I16" s="261"/>
      <c r="J16" s="1912"/>
      <c r="K16" s="1911"/>
      <c r="L16" s="1911"/>
      <c r="M16" s="1911"/>
      <c r="N16" s="1911"/>
      <c r="O16" s="1911"/>
      <c r="P16" s="1911"/>
      <c r="Q16" s="1911"/>
      <c r="R16" s="1911"/>
      <c r="S16" s="1911"/>
      <c r="T16" s="1911"/>
      <c r="U16" s="1911"/>
      <c r="V16" s="1911"/>
    </row>
    <row r="17" spans="1:26" ht="15">
      <c r="A17" s="262" t="s">
        <v>318</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319</v>
      </c>
      <c r="B18" s="105"/>
      <c r="C18" s="265">
        <f>ROUND(C17/SUM(C17:D17),2)</f>
        <v>0.5</v>
      </c>
      <c r="D18" s="265">
        <f>1-C18</f>
        <v>0.5</v>
      </c>
      <c r="E18" s="3447" t="s">
        <v>2958</v>
      </c>
      <c r="F18" s="3448"/>
      <c r="G18" s="3448"/>
      <c r="H18" s="3448"/>
      <c r="I18" s="3448"/>
      <c r="J18" s="1911"/>
      <c r="K18" s="1911"/>
      <c r="L18" s="1911"/>
      <c r="M18" s="1911"/>
      <c r="N18" s="1911"/>
      <c r="O18" s="1911"/>
      <c r="P18" s="1911"/>
      <c r="Q18" s="1911"/>
      <c r="R18" s="1911"/>
      <c r="S18" s="1911"/>
      <c r="T18" s="1911"/>
      <c r="U18" s="1911"/>
      <c r="V18" s="1911"/>
    </row>
    <row r="19" spans="1:26" ht="15">
      <c r="A19" s="266" t="s">
        <v>320</v>
      </c>
      <c r="B19" s="267" t="s">
        <v>321</v>
      </c>
      <c r="C19" s="268">
        <f ca="1">SUMIF(INDIRECT("'"&amp;C4&amp;"'"&amp;"!A:A"),结果表!B19,INDIRECT("'"&amp;C4&amp;"'"&amp;"!B:B"))</f>
        <v>50351</v>
      </c>
      <c r="D19" s="269">
        <f ca="1">SUMIF(INDIRECT("'"&amp;D4&amp;"'"&amp;"!A:A"),结果表!B19,INDIRECT("'"&amp;D4&amp;"'"&amp;"!B:B"))</f>
        <v>50707</v>
      </c>
      <c r="E19" s="266" t="s">
        <v>322</v>
      </c>
      <c r="F19" s="267" t="s">
        <v>321</v>
      </c>
      <c r="G19" s="270">
        <f ca="1">ROUND(C19*$C$18+D19*$D$18,0)</f>
        <v>50529</v>
      </c>
      <c r="H19" s="271" t="s">
        <v>323</v>
      </c>
      <c r="I19" s="309"/>
      <c r="J19" s="1911"/>
      <c r="K19" s="3600" t="s">
        <v>3268</v>
      </c>
      <c r="L19" s="1911"/>
      <c r="M19" s="1911"/>
      <c r="N19" s="1911"/>
      <c r="O19" s="1911"/>
      <c r="P19" s="1911"/>
      <c r="Q19" s="1911"/>
      <c r="R19" s="1911"/>
      <c r="S19" s="1911"/>
      <c r="T19" s="1911"/>
      <c r="U19" s="1911"/>
      <c r="V19" s="1911"/>
    </row>
    <row r="20" spans="1:26" ht="15">
      <c r="A20" s="272"/>
      <c r="B20" s="273" t="s">
        <v>324</v>
      </c>
      <c r="C20" s="274">
        <f ca="1">SUMIF(INDIRECT("'"&amp;C4&amp;"'"&amp;"!A:A"),结果表!B20,INDIRECT("'"&amp;C4&amp;"'"&amp;"!B:B"))</f>
        <v>7383</v>
      </c>
      <c r="D20" s="275">
        <f ca="1">SUMIF(INDIRECT("'"&amp;D4&amp;"'"&amp;"!A:A"),结果表!B20,INDIRECT("'"&amp;D4&amp;"'"&amp;"!B:B"))</f>
        <v>7435</v>
      </c>
      <c r="E20" s="272"/>
      <c r="F20" s="273" t="s">
        <v>324</v>
      </c>
      <c r="G20" s="276">
        <f ca="1">ROUND(C20*$C$18+D20*$D$18,0)</f>
        <v>7409</v>
      </c>
      <c r="H20" s="277" t="s">
        <v>325</v>
      </c>
      <c r="I20" s="309"/>
      <c r="J20" s="1911"/>
      <c r="K20" s="1911">
        <v>50233</v>
      </c>
      <c r="L20" s="1911"/>
      <c r="M20" s="1911"/>
      <c r="N20" s="1911"/>
      <c r="O20" s="1911"/>
      <c r="P20" s="1911"/>
      <c r="Q20" s="1911"/>
      <c r="R20" s="1911"/>
      <c r="S20" s="1911"/>
      <c r="T20" s="1911"/>
      <c r="U20" s="1911"/>
      <c r="V20" s="1911"/>
    </row>
    <row r="21" spans="1:26" ht="15" customHeight="1">
      <c r="A21" s="272"/>
      <c r="B21" s="278" t="s">
        <v>326</v>
      </c>
      <c r="C21" s="279">
        <f ca="1">SUMIF(INDIRECT("'"&amp;C4&amp;"'"&amp;"!A:A"),结果表!B21,INDIRECT("'"&amp;C4&amp;"'"&amp;"!B:B"))</f>
        <v>27976</v>
      </c>
      <c r="D21" s="149">
        <f ca="1">SUMIF(INDIRECT("'"&amp;D4&amp;"'"&amp;"!A:A"),结果表!B21,INDIRECT("'"&amp;D4&amp;"'"&amp;"!B:B"))</f>
        <v>28174</v>
      </c>
      <c r="E21" s="272"/>
      <c r="F21" s="278" t="s">
        <v>326</v>
      </c>
      <c r="G21" s="280">
        <f ca="1">ROUND(C21*$C$18+D21*$D$18,0)</f>
        <v>28075</v>
      </c>
      <c r="H21" s="1205" t="s">
        <v>325</v>
      </c>
      <c r="I21" s="309"/>
      <c r="J21" s="1911"/>
      <c r="K21" s="1911"/>
      <c r="L21" s="1911"/>
      <c r="M21" s="1911"/>
      <c r="N21" s="1911"/>
      <c r="O21" s="1911"/>
      <c r="P21" s="1911"/>
      <c r="Q21" s="1911"/>
      <c r="R21" s="1911"/>
      <c r="S21" s="1911"/>
      <c r="T21" s="1911"/>
      <c r="U21" s="1911"/>
      <c r="V21" s="1911"/>
    </row>
    <row r="22" spans="1:26" ht="15.75" thickBot="1">
      <c r="A22" s="126" t="s">
        <v>327</v>
      </c>
      <c r="B22" s="1206"/>
      <c r="C22" s="1207"/>
      <c r="D22" s="281">
        <f ca="1">IF(C19&lt;D19,D19/C19-1,C19/D19-1)</f>
        <v>7.0703660304660687E-3</v>
      </c>
      <c r="E22" s="282"/>
      <c r="F22" s="283"/>
      <c r="G22" s="284">
        <f ca="1">ROUND(G19/('数据-汇总表'!D3/666.67),0)</f>
        <v>1872</v>
      </c>
      <c r="H22" s="285" t="s">
        <v>328</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6" t="s">
        <v>329</v>
      </c>
      <c r="B24" s="267" t="s">
        <v>321</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3"/>
      <c r="B25" s="1275" t="s">
        <v>330</v>
      </c>
      <c r="C25" s="288">
        <f>IF(B30=0,0,C30)</f>
        <v>0</v>
      </c>
      <c r="D25" s="289"/>
      <c r="E25" s="309"/>
      <c r="F25" s="309"/>
      <c r="G25" s="309"/>
      <c r="H25" s="309"/>
      <c r="I25" s="309"/>
      <c r="J25" s="1911"/>
      <c r="K25" s="1209" t="str">
        <f ca="1">项目基本情况!B16&amp;"国有建设用地使用权价格："&amp;O38&amp;"万元"</f>
        <v>出让国有建设用地使用权价格：50529万元</v>
      </c>
      <c r="L25" s="1210"/>
      <c r="M25" s="1210"/>
      <c r="N25" s="1210"/>
      <c r="O25" s="1211"/>
      <c r="P25" s="1911"/>
      <c r="Q25" s="1911"/>
      <c r="R25" s="1911"/>
      <c r="S25" s="1911"/>
      <c r="T25" s="1911"/>
      <c r="U25" s="1911"/>
      <c r="V25" s="1911"/>
    </row>
    <row r="26" spans="1:26" s="1208" customFormat="1" ht="18">
      <c r="A26" s="291" t="s">
        <v>331</v>
      </c>
      <c r="B26" s="292" t="s">
        <v>332</v>
      </c>
      <c r="C26" s="292" t="s">
        <v>333</v>
      </c>
      <c r="D26" s="293" t="s">
        <v>334</v>
      </c>
      <c r="E26" s="309"/>
      <c r="F26" s="309"/>
      <c r="G26" s="309"/>
      <c r="H26" s="309"/>
      <c r="I26" s="309"/>
      <c r="J26" s="1911"/>
      <c r="K26" s="1212" t="str">
        <f ca="1">"大写金额：人民币"&amp;NUMBERSTRING(INT(O38*10000),2)&amp;"元整"</f>
        <v>大写金额：人民币伍亿零伍佰贰拾玖万元整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f ca="1">G19/'数据-汇总表'!F31*10000</f>
        <v>13583.064516129032</v>
      </c>
      <c r="E27" s="309"/>
      <c r="F27" s="309"/>
      <c r="G27" s="309"/>
      <c r="H27" s="309"/>
      <c r="I27" s="309"/>
      <c r="J27" s="1911"/>
      <c r="K27" s="1212" t="str">
        <f ca="1">"单位面积地价："&amp;M38&amp;"元/平方米"</f>
        <v>单位面积地价：28075元/平方米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楼面地价：7409元/平方米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抵押价格：50529万元</v>
      </c>
      <c r="L29" s="1206"/>
      <c r="M29" s="1206"/>
      <c r="N29" s="1206"/>
      <c r="O29" s="1205"/>
      <c r="P29" s="1911"/>
      <c r="V29" s="1911"/>
    </row>
    <row r="30" spans="1:26" ht="18.75" thickBot="1">
      <c r="A30" s="2799" t="s">
        <v>335</v>
      </c>
      <c r="B30" s="307"/>
      <c r="C30" s="307"/>
      <c r="D30" s="308"/>
      <c r="E30" s="3002" t="s">
        <v>2959</v>
      </c>
      <c r="F30" s="309"/>
      <c r="G30" s="309"/>
      <c r="H30" s="309"/>
      <c r="I30" s="309"/>
      <c r="J30" s="1911"/>
      <c r="K30" s="1212" t="str">
        <f ca="1">IF(K29="——","——","大写金额：人民币"&amp;NUMBERSTRING(INT(O39*10000),2)&amp;"元整")</f>
        <v>大写金额：人民币伍亿零伍佰贰拾玖万元整</v>
      </c>
      <c r="L30" s="1206"/>
      <c r="M30" s="1206"/>
      <c r="N30" s="1206"/>
      <c r="O30" s="1205"/>
      <c r="P30" s="1911"/>
      <c r="V30" s="1911"/>
    </row>
    <row r="31" spans="1:26" ht="24" customHeight="1" thickBot="1">
      <c r="A31" s="3449" t="s">
        <v>2960</v>
      </c>
      <c r="B31" s="3449"/>
      <c r="C31" s="3449"/>
      <c r="D31" s="3449"/>
      <c r="E31" s="3449"/>
      <c r="F31" s="3449"/>
      <c r="G31" s="3449"/>
      <c r="H31" s="3449"/>
      <c r="I31" s="3449"/>
      <c r="J31" s="1911"/>
      <c r="K31" s="2322" t="str">
        <f>IF(项目基本情况!E8="抵押价格","——","抵押担保权已注销时的抵押价格："&amp;O40&amp;"万元")</f>
        <v>——</v>
      </c>
      <c r="L31" s="2318"/>
      <c r="M31" s="2318"/>
      <c r="N31" s="2318"/>
      <c r="O31" s="2319"/>
      <c r="P31" s="1911"/>
      <c r="V31" s="1911"/>
    </row>
    <row r="32" spans="1:26" ht="19.5" thickTop="1" thickBot="1">
      <c r="A32" s="272" t="s">
        <v>336</v>
      </c>
      <c r="B32" s="3003" t="s">
        <v>1678</v>
      </c>
      <c r="C32" s="264">
        <f ca="1">G19-C24</f>
        <v>50529</v>
      </c>
      <c r="D32" s="3004"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339</v>
      </c>
      <c r="B33" s="1332" t="s">
        <v>1680</v>
      </c>
      <c r="C33" s="262">
        <f ca="1">ROUND(C32*10000/'数据-汇总表'!E3,0)</f>
        <v>7409</v>
      </c>
      <c r="D33" s="1333" t="s">
        <v>1681</v>
      </c>
      <c r="E33" s="3406" t="s">
        <v>337</v>
      </c>
      <c r="F33" s="294" t="s">
        <v>338</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1682</v>
      </c>
      <c r="C34" s="262">
        <f ca="1">ROUND(C32*10000/'数据-汇总表'!D3,0)</f>
        <v>28075</v>
      </c>
      <c r="D34" s="1335" t="s">
        <v>1681</v>
      </c>
      <c r="E34" s="3407"/>
      <c r="F34" s="127" t="s">
        <v>340</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1872</v>
      </c>
      <c r="D35" s="1338" t="s">
        <v>1683</v>
      </c>
      <c r="E35" s="3408"/>
      <c r="F35" s="299" t="s">
        <v>341</v>
      </c>
      <c r="G35" s="970"/>
      <c r="H35" s="969" t="s">
        <v>342</v>
      </c>
      <c r="I35" s="309"/>
      <c r="J35" s="1911"/>
      <c r="K35" s="3412" t="s">
        <v>349</v>
      </c>
      <c r="L35" s="3412" t="s">
        <v>350</v>
      </c>
      <c r="M35" s="1218" t="s">
        <v>351</v>
      </c>
      <c r="N35" s="3412" t="s">
        <v>352</v>
      </c>
      <c r="O35" s="3412" t="s">
        <v>353</v>
      </c>
      <c r="P35" s="1911"/>
      <c r="V35" s="1911"/>
    </row>
    <row r="36" spans="1:26" ht="16.5" customHeight="1">
      <c r="A36" s="301" t="s">
        <v>343</v>
      </c>
      <c r="B36" s="302" t="s">
        <v>332</v>
      </c>
      <c r="C36" s="303" t="s">
        <v>344</v>
      </c>
      <c r="D36" s="303" t="s">
        <v>345</v>
      </c>
      <c r="E36" s="304" t="s">
        <v>346</v>
      </c>
      <c r="F36" s="309"/>
      <c r="G36" s="309"/>
      <c r="H36" s="309"/>
      <c r="I36" s="309"/>
      <c r="J36" s="1913"/>
      <c r="K36" s="3413"/>
      <c r="L36" s="3413"/>
      <c r="M36" s="1220" t="s">
        <v>354</v>
      </c>
      <c r="N36" s="3413"/>
      <c r="O36" s="3413"/>
      <c r="P36" s="1911"/>
      <c r="V36" s="1911"/>
    </row>
    <row r="37" spans="1:26" ht="16.5" customHeight="1" thickBot="1">
      <c r="A37" s="1214" t="s">
        <v>347</v>
      </c>
      <c r="B37" s="305">
        <f>750*35</f>
        <v>26250</v>
      </c>
      <c r="C37" s="292">
        <v>762</v>
      </c>
      <c r="D37" s="292">
        <v>1.0305</v>
      </c>
      <c r="E37" s="293"/>
      <c r="F37" s="309"/>
      <c r="G37" s="309"/>
      <c r="H37" s="309"/>
      <c r="I37" s="309"/>
      <c r="J37" s="1913"/>
      <c r="K37" s="3414"/>
      <c r="L37" s="3414"/>
      <c r="M37" s="1221"/>
      <c r="N37" s="3414"/>
      <c r="O37" s="3414"/>
      <c r="P37" s="1911"/>
      <c r="V37" s="1911"/>
    </row>
    <row r="38" spans="1:26" ht="16.5" customHeight="1" thickBot="1">
      <c r="A38" s="1214" t="s">
        <v>348</v>
      </c>
      <c r="B38" s="305"/>
      <c r="C38" s="292"/>
      <c r="D38" s="292"/>
      <c r="E38" s="293"/>
      <c r="F38" s="309"/>
      <c r="G38" s="309"/>
      <c r="H38" s="309"/>
      <c r="I38" s="309"/>
      <c r="J38" s="1913"/>
      <c r="K38" s="1222">
        <f>'数据-汇总表'!D3</f>
        <v>17997.97</v>
      </c>
      <c r="L38" s="1223">
        <f>'数据-汇总表'!E3</f>
        <v>68200</v>
      </c>
      <c r="M38" s="1223">
        <f ca="1">C34</f>
        <v>28075</v>
      </c>
      <c r="N38" s="1223">
        <f ca="1">C33</f>
        <v>7409</v>
      </c>
      <c r="O38" s="1224">
        <f ca="1">C32</f>
        <v>50529</v>
      </c>
      <c r="P38" s="1911"/>
      <c r="V38" s="1911"/>
    </row>
    <row r="39" spans="1:26" ht="16.5" customHeight="1" thickBot="1">
      <c r="A39" s="1219"/>
      <c r="B39" s="306"/>
      <c r="C39" s="307"/>
      <c r="D39" s="307"/>
      <c r="E39" s="308"/>
      <c r="F39" s="309"/>
      <c r="G39" s="309"/>
      <c r="H39" s="309"/>
      <c r="I39" s="309"/>
      <c r="J39" s="1913"/>
      <c r="K39" s="3425" t="str">
        <f>MID(A44,3,LEN(A44)-2)</f>
        <v>抵押价格</v>
      </c>
      <c r="L39" s="3426"/>
      <c r="M39" s="3426"/>
      <c r="N39" s="3427"/>
      <c r="O39" s="1340">
        <f ca="1">C44</f>
        <v>50529</v>
      </c>
      <c r="P39" s="1911"/>
      <c r="V39" s="1911"/>
    </row>
    <row r="40" spans="1:26" ht="19.5" thickBot="1">
      <c r="A40" s="104" t="s">
        <v>863</v>
      </c>
      <c r="B40" s="309"/>
      <c r="C40" s="309"/>
      <c r="D40" s="309"/>
      <c r="E40" s="309"/>
      <c r="F40" s="309"/>
      <c r="G40" s="309"/>
      <c r="H40" s="309"/>
      <c r="I40" s="309"/>
      <c r="J40" s="1913"/>
      <c r="K40" s="3425" t="str">
        <f t="shared" ref="K40:K41" si="0">MID(A45,3,LEN(A45)-2)</f>
        <v/>
      </c>
      <c r="L40" s="3426"/>
      <c r="M40" s="3426"/>
      <c r="N40" s="3427"/>
      <c r="O40" s="1340" t="str">
        <f>C45</f>
        <v>——</v>
      </c>
      <c r="P40" s="1911"/>
      <c r="V40" s="1911"/>
    </row>
    <row r="41" spans="1:26" ht="16.5" thickBot="1">
      <c r="A41" s="310" t="s">
        <v>355</v>
      </c>
      <c r="B41" s="311"/>
      <c r="C41" s="312" t="s">
        <v>356</v>
      </c>
      <c r="D41" s="313" t="s">
        <v>357</v>
      </c>
      <c r="E41" s="313" t="s">
        <v>358</v>
      </c>
      <c r="F41" s="314" t="s">
        <v>359</v>
      </c>
      <c r="G41" s="309"/>
      <c r="H41" s="309"/>
      <c r="I41" s="309"/>
      <c r="J41" s="1913"/>
      <c r="K41" s="3425" t="str">
        <f t="shared" si="0"/>
        <v/>
      </c>
      <c r="L41" s="3426"/>
      <c r="M41" s="3426"/>
      <c r="N41" s="3427"/>
      <c r="O41" s="1340" t="str">
        <f>C46</f>
        <v>——</v>
      </c>
      <c r="P41" s="1911"/>
      <c r="V41" s="1911"/>
    </row>
    <row r="42" spans="1:26" ht="29.25">
      <c r="A42" s="3454" t="s">
        <v>2055</v>
      </c>
      <c r="B42" s="3455"/>
      <c r="C42" s="262">
        <f ca="1">C32</f>
        <v>50529</v>
      </c>
      <c r="D42" s="315">
        <f ca="1">C33</f>
        <v>7409</v>
      </c>
      <c r="E42" s="315">
        <f ca="1">C34</f>
        <v>28075</v>
      </c>
      <c r="F42" s="316">
        <f ca="1">C35</f>
        <v>1872</v>
      </c>
      <c r="G42" s="309"/>
      <c r="H42" s="309"/>
      <c r="I42" s="317"/>
      <c r="J42" s="1913"/>
      <c r="K42" s="1225" t="s">
        <v>360</v>
      </c>
      <c r="L42" s="1930" t="s">
        <v>361</v>
      </c>
      <c r="M42" s="1226" t="s">
        <v>362</v>
      </c>
      <c r="N42" s="1931" t="s">
        <v>363</v>
      </c>
      <c r="O42" s="1932" t="s">
        <v>364</v>
      </c>
      <c r="P42" s="1911"/>
      <c r="V42" s="1911"/>
    </row>
    <row r="43" spans="1:26" ht="30">
      <c r="A43" s="3464" t="s">
        <v>2709</v>
      </c>
      <c r="B43" s="3465"/>
      <c r="C43" s="262">
        <f>IF(H33="正常操作",G33+G34+G35,G34+G35)</f>
        <v>0</v>
      </c>
      <c r="D43" s="315" t="s">
        <v>43</v>
      </c>
      <c r="E43" s="315" t="s">
        <v>44</v>
      </c>
      <c r="F43" s="316" t="s">
        <v>44</v>
      </c>
      <c r="G43" s="2583" t="s">
        <v>942</v>
      </c>
      <c r="H43" s="309"/>
      <c r="I43" s="317"/>
      <c r="J43" s="1913"/>
      <c r="K43" s="1227" t="str">
        <f>C4</f>
        <v>剩余法-待开发</v>
      </c>
      <c r="L43" s="1228">
        <f ca="1">IF(L42="估价结果/万元",C19,C20)</f>
        <v>50351</v>
      </c>
      <c r="M43" s="1229">
        <f>C18</f>
        <v>0.5</v>
      </c>
      <c r="N43" s="1230">
        <f ca="1">IF(N42="测算结果/万元",G19,G20)</f>
        <v>50529</v>
      </c>
      <c r="O43" s="1231">
        <f ca="1">IF(O42="最终结果/万元",C32,C33)</f>
        <v>50529</v>
      </c>
      <c r="P43" s="1911"/>
      <c r="V43" s="1911"/>
    </row>
    <row r="44" spans="1:26" ht="30.75" thickBot="1">
      <c r="A44" s="3454" t="str">
        <f>IF(OR(项目基本情况!E8="抵押价格",项目基本情况!E8="已注销及未注销"),"3.抵押价格","——")</f>
        <v>3.抵押价格</v>
      </c>
      <c r="B44" s="3455"/>
      <c r="C44" s="262">
        <f ca="1">IF(A44="——","——",C42-C43)</f>
        <v>50529</v>
      </c>
      <c r="D44" s="315">
        <f ca="1">ROUND(C44*10000/'数据-汇总表'!E3,0)</f>
        <v>7409</v>
      </c>
      <c r="E44" s="315">
        <f ca="1">ROUND(C44*10000/'数据-汇总表'!D3,0)</f>
        <v>28075</v>
      </c>
      <c r="F44" s="316">
        <f ca="1">ROUND(C44/('数据-汇总表'!D3/666.67),0)</f>
        <v>1872</v>
      </c>
      <c r="G44" s="309"/>
      <c r="H44" s="309"/>
      <c r="I44" s="317"/>
      <c r="J44" s="1913"/>
      <c r="K44" s="1232" t="str">
        <f>D4</f>
        <v>比较法-住宅、综合</v>
      </c>
      <c r="L44" s="1233">
        <f ca="1">IF(L42="估价结果/万元",D19,D20)</f>
        <v>50707</v>
      </c>
      <c r="M44" s="1234">
        <f>D18</f>
        <v>0.5</v>
      </c>
      <c r="N44" s="1235"/>
      <c r="O44" s="1236"/>
      <c r="P44" s="1911"/>
      <c r="V44" s="1911"/>
    </row>
    <row r="45" spans="1:26" ht="15">
      <c r="A45" s="3459" t="str">
        <f>IF(项目基本情况!E8="已注销及未注销","4.抵押担保权已注销时的抵押价格",IF(项目基本情况!E8="已注销","3.抵押担保权已注销时的抵押价格","——"))</f>
        <v>——</v>
      </c>
      <c r="B45" s="346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6" t="str">
        <f>IF(项目基本情况!E9="抵押净值",IF(A45="——","4.抵押净值","5.抵押净值"),"——")</f>
        <v>——</v>
      </c>
      <c r="B46" s="345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365</v>
      </c>
      <c r="B47" s="1237"/>
      <c r="C47" s="320" t="s">
        <v>366</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367</v>
      </c>
      <c r="G53" s="335"/>
      <c r="H53" s="335"/>
      <c r="I53" s="336" t="s">
        <v>368</v>
      </c>
      <c r="J53" s="1914"/>
      <c r="K53" s="1911"/>
      <c r="L53" s="1911"/>
      <c r="M53" s="1911"/>
      <c r="N53" s="1911"/>
      <c r="O53" s="1911"/>
      <c r="P53" s="1911"/>
      <c r="Q53" s="1911"/>
      <c r="R53" s="1911"/>
      <c r="S53" s="1911"/>
      <c r="T53" s="1911"/>
      <c r="U53" s="1911"/>
      <c r="V53" s="1911"/>
    </row>
    <row r="54" spans="1:22" ht="12.75">
      <c r="A54" s="255"/>
      <c r="B54" s="337" t="s">
        <v>369</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370</v>
      </c>
      <c r="J56" s="1914"/>
      <c r="K56" s="1911"/>
      <c r="L56" s="1911"/>
      <c r="M56" s="1911"/>
      <c r="N56" s="1911"/>
      <c r="O56" s="1911"/>
      <c r="P56" s="1911"/>
      <c r="Q56" s="1911"/>
      <c r="R56" s="1911"/>
      <c r="S56" s="1911"/>
      <c r="T56" s="1911"/>
      <c r="U56" s="1911"/>
      <c r="V56" s="1911"/>
    </row>
    <row r="57" spans="1:22" ht="12.75">
      <c r="A57" s="255"/>
      <c r="B57" s="337" t="s">
        <v>371</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370</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372</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17" t="s">
        <v>373</v>
      </c>
      <c r="B63" s="3418"/>
      <c r="C63" s="3419"/>
      <c r="D63" s="339">
        <f ca="1">ROUND(C42*F63,0)</f>
        <v>50529</v>
      </c>
      <c r="E63" s="300" t="s">
        <v>374</v>
      </c>
      <c r="F63" s="340">
        <v>1</v>
      </c>
      <c r="G63" s="341" t="s">
        <v>375</v>
      </c>
      <c r="H63" s="309"/>
      <c r="I63" s="309"/>
      <c r="J63" s="1911"/>
      <c r="K63" s="1911"/>
      <c r="L63" s="1911"/>
      <c r="M63" s="1911"/>
      <c r="N63" s="1911"/>
      <c r="O63" s="1911"/>
      <c r="P63" s="1911"/>
      <c r="Q63" s="1911"/>
      <c r="R63" s="1911"/>
      <c r="S63" s="1911"/>
      <c r="T63" s="1911"/>
      <c r="U63" s="1911"/>
      <c r="V63" s="1911"/>
    </row>
    <row r="64" spans="1:22" ht="14.25" customHeight="1">
      <c r="A64" s="3461" t="s">
        <v>377</v>
      </c>
      <c r="B64" s="3462"/>
      <c r="C64" s="3462"/>
      <c r="D64" s="3462"/>
      <c r="E64" s="3462"/>
      <c r="F64" s="3462"/>
      <c r="G64" s="3463"/>
      <c r="H64" s="1242"/>
      <c r="I64" s="937"/>
      <c r="J64" s="1902"/>
      <c r="K64" s="1498" t="s">
        <v>376</v>
      </c>
      <c r="L64" s="11"/>
      <c r="M64" s="11"/>
      <c r="N64" s="11"/>
      <c r="O64" s="11"/>
      <c r="P64" s="309"/>
      <c r="Q64" s="1911"/>
      <c r="R64" s="1911"/>
      <c r="S64" s="1911"/>
      <c r="T64" s="1911"/>
      <c r="U64" s="1911"/>
      <c r="V64" s="1911"/>
    </row>
    <row r="65" spans="1:22" ht="12" customHeight="1">
      <c r="A65" s="342" t="s">
        <v>379</v>
      </c>
      <c r="B65" s="343"/>
      <c r="C65" s="344"/>
      <c r="D65" s="345" t="s">
        <v>380</v>
      </c>
      <c r="E65" s="53" t="s">
        <v>381</v>
      </c>
      <c r="F65" s="346" t="s">
        <v>382</v>
      </c>
      <c r="G65" s="347" t="s">
        <v>383</v>
      </c>
      <c r="H65" s="1242"/>
      <c r="I65" s="937"/>
      <c r="J65" s="1902"/>
      <c r="K65" s="1243"/>
      <c r="L65" s="1244"/>
      <c r="M65" s="1244"/>
      <c r="N65" s="1276" t="s">
        <v>378</v>
      </c>
      <c r="O65" s="1277"/>
      <c r="P65" s="1278"/>
      <c r="Q65" s="1911"/>
      <c r="R65" s="1911"/>
      <c r="S65" s="1911"/>
      <c r="T65" s="1911"/>
      <c r="U65" s="1911"/>
      <c r="V65" s="1911"/>
    </row>
    <row r="66" spans="1:22" ht="25.5">
      <c r="A66" s="3458" t="s">
        <v>385</v>
      </c>
      <c r="B66" s="3424"/>
      <c r="C66" s="3424"/>
      <c r="D66" s="259" t="b">
        <f>IF(H66="情况1",0,IF(H66="情况2",D70,IF(H66="情况3",D71,IF(H66="情况4",D72))))</f>
        <v>0</v>
      </c>
      <c r="E66" s="981" t="str">
        <f>IF(H66="情况4","(销售额-原购置价)×税（费）率","销售额×税（费）率")</f>
        <v>销售额×税（费）率</v>
      </c>
      <c r="F66" s="348">
        <f>IF(H66="情况1","免征",'数据-取费表'!B41)</f>
        <v>5.5000000000000007E-2</v>
      </c>
      <c r="G66" s="349" t="s">
        <v>386</v>
      </c>
      <c r="H66" s="189"/>
      <c r="I66" s="1242"/>
      <c r="J66" s="1917"/>
      <c r="K66" s="1245">
        <v>1</v>
      </c>
      <c r="L66" s="3385" t="s">
        <v>384</v>
      </c>
      <c r="M66" s="3386"/>
      <c r="N66" s="2312"/>
      <c r="O66" s="2313"/>
      <c r="P66" s="2314"/>
      <c r="Q66" s="1911"/>
      <c r="R66" s="1911"/>
      <c r="S66" s="1911"/>
      <c r="T66" s="1911"/>
      <c r="U66" s="1911"/>
      <c r="V66" s="1911"/>
    </row>
    <row r="67" spans="1:22" ht="25.5" customHeight="1">
      <c r="A67" s="350" t="s">
        <v>388</v>
      </c>
      <c r="B67" s="3436" t="s">
        <v>389</v>
      </c>
      <c r="C67" s="3436"/>
      <c r="D67" s="351">
        <v>0</v>
      </c>
      <c r="E67" s="41" t="s">
        <v>390</v>
      </c>
      <c r="F67" s="62" t="s">
        <v>21</v>
      </c>
      <c r="G67" s="3420"/>
      <c r="H67" s="3005" t="s">
        <v>2961</v>
      </c>
      <c r="I67" s="3007"/>
      <c r="J67" s="1918"/>
      <c r="K67" s="1890">
        <v>2</v>
      </c>
      <c r="L67" s="3390" t="s">
        <v>387</v>
      </c>
      <c r="M67" s="3390"/>
      <c r="N67" s="1279">
        <f>'数据-取费表'!B2</f>
        <v>44448</v>
      </c>
      <c r="O67" s="1279"/>
      <c r="P67" s="1279"/>
      <c r="Q67" s="1911"/>
      <c r="R67" s="1911"/>
      <c r="S67" s="1911"/>
      <c r="T67" s="1911"/>
      <c r="U67" s="1911"/>
      <c r="V67" s="1911"/>
    </row>
    <row r="68" spans="1:22" ht="25.5" customHeight="1">
      <c r="A68" s="352"/>
      <c r="B68" s="3436" t="s">
        <v>392</v>
      </c>
      <c r="C68" s="3436"/>
      <c r="D68" s="353"/>
      <c r="E68" s="77"/>
      <c r="F68" s="354"/>
      <c r="G68" s="3421"/>
      <c r="H68" s="3006" t="s">
        <v>2962</v>
      </c>
      <c r="I68" s="3007"/>
      <c r="J68" s="1918"/>
      <c r="K68" s="1890">
        <v>3</v>
      </c>
      <c r="L68" s="3390" t="s">
        <v>391</v>
      </c>
      <c r="M68" s="3390"/>
      <c r="N68" s="1247">
        <f ca="1">C42</f>
        <v>50529</v>
      </c>
      <c r="O68" s="1247"/>
      <c r="P68" s="1247"/>
      <c r="Q68" s="1911"/>
      <c r="R68" s="1911"/>
      <c r="S68" s="1911"/>
      <c r="T68" s="1911"/>
      <c r="U68" s="1911"/>
      <c r="V68" s="1911"/>
    </row>
    <row r="69" spans="1:22" ht="23.45" customHeight="1">
      <c r="A69" s="355"/>
      <c r="B69" s="3436" t="s">
        <v>393</v>
      </c>
      <c r="C69" s="3436"/>
      <c r="D69" s="356"/>
      <c r="E69" s="73"/>
      <c r="F69" s="354"/>
      <c r="G69" s="3422"/>
      <c r="H69" s="3006" t="s">
        <v>2963</v>
      </c>
      <c r="I69" s="3007"/>
      <c r="J69" s="1918"/>
      <c r="K69" s="1248">
        <v>4</v>
      </c>
      <c r="L69" s="3391" t="s">
        <v>2861</v>
      </c>
      <c r="M69" s="3392"/>
      <c r="N69" s="1249">
        <f ca="1">C44</f>
        <v>50529</v>
      </c>
      <c r="O69" s="1249"/>
      <c r="P69" s="1249"/>
      <c r="Q69" s="1911"/>
      <c r="R69" s="1911"/>
      <c r="S69" s="1911"/>
      <c r="T69" s="1911"/>
      <c r="U69" s="1911"/>
      <c r="V69" s="1911"/>
    </row>
    <row r="70" spans="1:22" ht="24" customHeight="1">
      <c r="A70" s="357" t="s">
        <v>394</v>
      </c>
      <c r="B70" s="3436" t="s">
        <v>395</v>
      </c>
      <c r="C70" s="3436"/>
      <c r="D70" s="356">
        <f ca="1">ROUND(D63*'数据-取费表'!B41/(1+'数据-取费表'!C42),0)</f>
        <v>2647</v>
      </c>
      <c r="E70" s="17" t="s">
        <v>396</v>
      </c>
      <c r="F70" s="358">
        <f>'数据-取费表'!B41</f>
        <v>5.5000000000000007E-2</v>
      </c>
      <c r="G70" s="359"/>
      <c r="H70" s="309"/>
      <c r="I70" s="1246"/>
      <c r="J70" s="1918"/>
      <c r="K70" s="2764"/>
      <c r="L70" s="2765"/>
      <c r="M70" s="2765"/>
      <c r="N70" s="2766" t="s">
        <v>2865</v>
      </c>
      <c r="O70" s="2765"/>
      <c r="P70" s="2767"/>
      <c r="Q70" s="1911"/>
      <c r="R70" s="1911"/>
      <c r="S70" s="1911"/>
      <c r="T70" s="1911"/>
      <c r="U70" s="1911"/>
      <c r="V70" s="1911"/>
    </row>
    <row r="71" spans="1:22" ht="12" customHeight="1">
      <c r="A71" s="357" t="s">
        <v>402</v>
      </c>
      <c r="B71" s="3435" t="s">
        <v>2992</v>
      </c>
      <c r="C71" s="3452"/>
      <c r="D71" s="356">
        <f ca="1">ROUND(D63*'数据-取费表'!B41/(1+'数据-取费表'!C42),0)</f>
        <v>2647</v>
      </c>
      <c r="E71" s="17" t="s">
        <v>396</v>
      </c>
      <c r="F71" s="358">
        <f>'数据-取费表'!B41</f>
        <v>5.5000000000000007E-2</v>
      </c>
      <c r="G71" s="359"/>
      <c r="H71" s="309"/>
      <c r="I71" s="1246"/>
      <c r="J71" s="1918"/>
      <c r="K71" s="2763" t="s">
        <v>397</v>
      </c>
      <c r="L71" s="3393" t="s">
        <v>398</v>
      </c>
      <c r="M71" s="3393"/>
      <c r="N71" s="2763" t="s">
        <v>399</v>
      </c>
      <c r="O71" s="2763" t="s">
        <v>400</v>
      </c>
      <c r="P71" s="2763" t="s">
        <v>401</v>
      </c>
      <c r="Q71" s="1911"/>
      <c r="R71" s="1911"/>
      <c r="S71" s="1911"/>
      <c r="T71" s="1911"/>
      <c r="U71" s="1911"/>
      <c r="V71" s="1911"/>
    </row>
    <row r="72" spans="1:22" ht="12" customHeight="1">
      <c r="A72" s="357" t="s">
        <v>404</v>
      </c>
      <c r="B72" s="3435" t="s">
        <v>2993</v>
      </c>
      <c r="C72" s="3452"/>
      <c r="D72" s="356">
        <f ca="1">C86</f>
        <v>2647</v>
      </c>
      <c r="E72" s="73" t="s">
        <v>405</v>
      </c>
      <c r="F72" s="358">
        <f>'数据-取费表'!B41</f>
        <v>5.5000000000000007E-2</v>
      </c>
      <c r="G72" s="359"/>
      <c r="H72" s="1252"/>
      <c r="I72" s="1246"/>
      <c r="J72" s="1918"/>
      <c r="K72" s="1890">
        <v>1</v>
      </c>
      <c r="L72" s="3389" t="s">
        <v>403</v>
      </c>
      <c r="M72" s="3389"/>
      <c r="N72" s="1250" t="b">
        <f>D66</f>
        <v>0</v>
      </c>
      <c r="O72" s="1773" t="str">
        <f>E66</f>
        <v>销售额×税（费）率</v>
      </c>
      <c r="P72" s="1251">
        <f>F66</f>
        <v>5.5000000000000007E-2</v>
      </c>
      <c r="Q72" s="1911"/>
      <c r="R72" s="1911"/>
      <c r="S72" s="1911"/>
      <c r="T72" s="1911"/>
      <c r="U72" s="1911"/>
      <c r="V72" s="1911"/>
    </row>
    <row r="73" spans="1:22" ht="24" customHeight="1">
      <c r="A73" s="3423" t="s">
        <v>407</v>
      </c>
      <c r="B73" s="3424"/>
      <c r="C73" s="3424"/>
      <c r="D73" s="360">
        <f ca="1">IF(H73="个人住宅",0,ROUND(D63*I73,0))</f>
        <v>25</v>
      </c>
      <c r="E73" s="17" t="s">
        <v>408</v>
      </c>
      <c r="F73" s="358" t="str">
        <f>IF(H73="正常",I73,"免征")</f>
        <v>免征</v>
      </c>
      <c r="G73" s="359"/>
      <c r="H73" s="189"/>
      <c r="I73" s="358">
        <f>'数据-取费表'!B49</f>
        <v>5.0000000000000001E-4</v>
      </c>
      <c r="J73" s="1918"/>
      <c r="K73" s="1890">
        <v>2</v>
      </c>
      <c r="L73" s="3389" t="s">
        <v>406</v>
      </c>
      <c r="M73" s="3389"/>
      <c r="N73" s="1250">
        <f t="shared" ref="N73:P74" ca="1" si="1">D73</f>
        <v>25</v>
      </c>
      <c r="O73" s="1773" t="str">
        <f t="shared" si="1"/>
        <v>销售额×税（费）率</v>
      </c>
      <c r="P73" s="1251" t="str">
        <f t="shared" si="1"/>
        <v>免征</v>
      </c>
      <c r="Q73" s="1911"/>
      <c r="R73" s="1911"/>
      <c r="S73" s="1911"/>
      <c r="T73" s="1911"/>
      <c r="U73" s="1911"/>
      <c r="V73" s="1911"/>
    </row>
    <row r="74" spans="1:22" ht="24.75">
      <c r="A74" s="3423" t="s">
        <v>410</v>
      </c>
      <c r="B74" s="3424"/>
      <c r="C74" s="3424"/>
      <c r="D74" s="360">
        <f ca="1">IF(H74="个人住宅",D75,D76)</f>
        <v>28645</v>
      </c>
      <c r="E74" s="17" t="s">
        <v>411</v>
      </c>
      <c r="F74" s="358" t="str">
        <f>IF(H74="正常",F76,"免征")</f>
        <v>免征</v>
      </c>
      <c r="G74" s="971" t="s">
        <v>412</v>
      </c>
      <c r="H74" s="361"/>
      <c r="I74" s="42"/>
      <c r="J74" s="1918"/>
      <c r="K74" s="1890">
        <v>3</v>
      </c>
      <c r="L74" s="3389" t="s">
        <v>409</v>
      </c>
      <c r="M74" s="3389"/>
      <c r="N74" s="1250">
        <f t="shared" ca="1" si="1"/>
        <v>28645</v>
      </c>
      <c r="O74" s="1773" t="str">
        <f t="shared" si="1"/>
        <v>增值额×税（费）率</v>
      </c>
      <c r="P74" s="1253" t="str">
        <f t="shared" si="1"/>
        <v>免征</v>
      </c>
      <c r="Q74" s="1911"/>
      <c r="R74" s="1911"/>
      <c r="S74" s="1911"/>
      <c r="T74" s="1911"/>
      <c r="U74" s="1911"/>
      <c r="V74" s="1911"/>
    </row>
    <row r="75" spans="1:22" ht="12.75">
      <c r="A75" s="357" t="s">
        <v>413</v>
      </c>
      <c r="B75" s="3404" t="s">
        <v>414</v>
      </c>
      <c r="C75" s="3405"/>
      <c r="D75" s="362">
        <v>0</v>
      </c>
      <c r="E75" s="41" t="s">
        <v>415</v>
      </c>
      <c r="F75" s="363"/>
      <c r="G75" s="359"/>
      <c r="H75" s="42"/>
      <c r="I75" s="42"/>
      <c r="J75" s="1918"/>
      <c r="K75" s="2757">
        <f>IF(H77="非个人房产","",4)</f>
        <v>4</v>
      </c>
      <c r="L75" s="3389" t="str">
        <f>IF(H77="非个人房产","——","个人所得税")</f>
        <v>个人所得税</v>
      </c>
      <c r="M75" s="3389"/>
      <c r="N75" s="1254">
        <f>D77</f>
        <v>0</v>
      </c>
      <c r="O75" s="1786" t="str">
        <f>E77</f>
        <v>差额计税</v>
      </c>
      <c r="P75" s="1255">
        <f>F77</f>
        <v>0.01</v>
      </c>
      <c r="Q75" s="1911"/>
      <c r="R75" s="1911"/>
      <c r="S75" s="1911"/>
      <c r="T75" s="1911"/>
      <c r="U75" s="1911"/>
      <c r="V75" s="1911"/>
    </row>
    <row r="76" spans="1:22" ht="24.75">
      <c r="A76" s="357" t="s">
        <v>394</v>
      </c>
      <c r="B76" s="3404" t="s">
        <v>417</v>
      </c>
      <c r="C76" s="3446"/>
      <c r="D76" s="360">
        <f ca="1">IF(H76="转让取得",C99,C115)</f>
        <v>28645</v>
      </c>
      <c r="E76" s="17" t="s">
        <v>418</v>
      </c>
      <c r="F76" s="53" t="s">
        <v>21</v>
      </c>
      <c r="G76" s="359"/>
      <c r="H76" s="361"/>
      <c r="I76" s="42"/>
      <c r="J76" s="1918"/>
      <c r="K76" s="2757" t="str">
        <f>IF(项目基本情况!K6="上海银行",IF(K75="",4,K75+1),"")</f>
        <v/>
      </c>
      <c r="L76" s="3400" t="str">
        <f>IF(项目基本情况!K6="上海银行","其他处置费用","")</f>
        <v/>
      </c>
      <c r="M76" s="3401"/>
      <c r="N76" s="1250" t="str">
        <f>IF(项目基本情况!K6="上海银行",N89,"")</f>
        <v/>
      </c>
      <c r="O76" s="3402" t="str">
        <f>IF(项目基本情况!K6="上海银行","包含处置中涉及的律师、诉讼、拍卖、评估等费用","")</f>
        <v/>
      </c>
      <c r="P76" s="3403"/>
      <c r="Q76" s="1911"/>
      <c r="R76" s="1911"/>
      <c r="S76" s="1911"/>
      <c r="T76" s="1911"/>
      <c r="U76" s="1911"/>
      <c r="V76" s="1911"/>
    </row>
    <row r="77" spans="1:22" ht="24.75" thickBot="1">
      <c r="A77" s="3415" t="s">
        <v>420</v>
      </c>
      <c r="B77" s="3416"/>
      <c r="C77" s="3416"/>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412</v>
      </c>
      <c r="H77" s="3009"/>
      <c r="I77" s="3008" t="s">
        <v>2964</v>
      </c>
      <c r="J77" s="1918"/>
      <c r="K77" s="3411">
        <f>IF(AND(K75="",K76=""),4,IF(项目基本情况!K6="上海银行",K76+1,K75+1))</f>
        <v>5</v>
      </c>
      <c r="L77" s="3389" t="s">
        <v>2862</v>
      </c>
      <c r="M77" s="2762" t="s">
        <v>416</v>
      </c>
      <c r="N77" s="1256"/>
      <c r="O77" s="1257">
        <f ca="1">SUMIF(N72:N76,"&lt;9e307")</f>
        <v>28670</v>
      </c>
      <c r="P77" s="1258"/>
      <c r="Q77" s="2760">
        <f ca="1">O77/N69</f>
        <v>0.56739694037087618</v>
      </c>
      <c r="R77" s="1911"/>
      <c r="S77" s="1911"/>
      <c r="T77" s="1911"/>
      <c r="U77" s="1911"/>
      <c r="V77" s="1911"/>
    </row>
    <row r="78" spans="1:22" ht="12" customHeight="1">
      <c r="A78" s="1259"/>
      <c r="B78" s="309"/>
      <c r="C78" s="309"/>
      <c r="D78" s="309"/>
      <c r="E78" s="42"/>
      <c r="F78" s="42"/>
      <c r="G78" s="42"/>
      <c r="H78" s="991"/>
      <c r="I78" s="309"/>
      <c r="J78" s="1918"/>
      <c r="K78" s="3411"/>
      <c r="L78" s="3389"/>
      <c r="M78" s="2762" t="s">
        <v>419</v>
      </c>
      <c r="N78" s="1256"/>
      <c r="O78" s="1257" t="str">
        <f ca="1">NUMBERSTRING(INT(O77*10000),2)&amp;"元整"</f>
        <v>贰亿捌仟陆佰柒拾万元整</v>
      </c>
      <c r="P78" s="1258"/>
      <c r="Q78" s="1911"/>
      <c r="R78" s="1911"/>
      <c r="S78" s="1911"/>
      <c r="T78" s="1911"/>
      <c r="U78" s="1911"/>
      <c r="V78" s="1911"/>
    </row>
    <row r="79" spans="1:22" ht="13.5" thickBot="1">
      <c r="A79" s="3466" t="s">
        <v>421</v>
      </c>
      <c r="B79" s="3466"/>
      <c r="C79" s="3466"/>
      <c r="D79" s="3466"/>
      <c r="E79" s="3466"/>
      <c r="F79" s="42"/>
      <c r="G79" s="42"/>
      <c r="H79" s="991"/>
      <c r="I79" s="309"/>
      <c r="J79" s="1918"/>
      <c r="K79" s="3387">
        <f>K77+1</f>
        <v>6</v>
      </c>
      <c r="L79" s="3389" t="s">
        <v>2863</v>
      </c>
      <c r="M79" s="2762" t="s">
        <v>416</v>
      </c>
      <c r="N79" s="1256"/>
      <c r="O79" s="1257">
        <f ca="1">N69-O77</f>
        <v>21859</v>
      </c>
      <c r="P79" s="1258"/>
      <c r="Q79" s="1911"/>
      <c r="R79" s="1911"/>
      <c r="S79" s="1911"/>
      <c r="T79" s="1911"/>
      <c r="U79" s="1911"/>
      <c r="V79" s="1911"/>
    </row>
    <row r="80" spans="1:22" ht="25.5">
      <c r="A80" s="3397" t="s">
        <v>422</v>
      </c>
      <c r="B80" s="3398"/>
      <c r="C80" s="982"/>
      <c r="D80" s="982" t="s">
        <v>423</v>
      </c>
      <c r="E80" s="364" t="s">
        <v>424</v>
      </c>
      <c r="F80" s="42"/>
      <c r="G80" s="42"/>
      <c r="H80" s="991"/>
      <c r="I80" s="309"/>
      <c r="J80" s="1911"/>
      <c r="K80" s="3388"/>
      <c r="L80" s="3389"/>
      <c r="M80" s="2762" t="s">
        <v>419</v>
      </c>
      <c r="N80" s="1256"/>
      <c r="O80" s="1257" t="str">
        <f ca="1">NUMBERSTRING(INT(O79*10000),2)&amp;"元整"</f>
        <v>贰亿壹仟捌佰伍拾玖万元整</v>
      </c>
      <c r="P80" s="1258"/>
      <c r="Q80" s="1911"/>
      <c r="R80" s="1911"/>
      <c r="S80" s="1911"/>
      <c r="T80" s="1911"/>
      <c r="U80" s="1911"/>
      <c r="V80" s="1911"/>
    </row>
    <row r="81" spans="1:26" ht="13.5" thickBot="1">
      <c r="A81" s="375" t="s">
        <v>1813</v>
      </c>
      <c r="B81" s="365" t="s">
        <v>425</v>
      </c>
      <c r="C81" s="366">
        <f ca="1">ROUND((C82+C83)/(1+'数据-取费表'!C42),0)</f>
        <v>48123</v>
      </c>
      <c r="D81" s="367"/>
      <c r="E81" s="368"/>
      <c r="F81" s="42"/>
      <c r="G81" s="42"/>
      <c r="H81" s="991"/>
      <c r="I81" s="309"/>
      <c r="J81" s="1911"/>
      <c r="K81" s="2757">
        <f>K79+1</f>
        <v>7</v>
      </c>
      <c r="L81" s="3409" t="s">
        <v>2864</v>
      </c>
      <c r="M81" s="3410"/>
      <c r="N81" s="1260"/>
      <c r="O81" s="1261">
        <f ca="1">ROUND(O79*10000/'数据-汇总表'!E3,0)</f>
        <v>3205</v>
      </c>
      <c r="P81" s="1262"/>
      <c r="Q81" s="1911"/>
      <c r="R81" s="1911"/>
      <c r="S81" s="1911"/>
      <c r="T81" s="1911"/>
      <c r="U81" s="1911"/>
      <c r="V81" s="1911"/>
    </row>
    <row r="82" spans="1:26" ht="13.5" thickTop="1">
      <c r="A82" s="369" t="s">
        <v>1814</v>
      </c>
      <c r="B82" s="370" t="s">
        <v>426</v>
      </c>
      <c r="C82" s="371">
        <f ca="1">D63</f>
        <v>50529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427</v>
      </c>
      <c r="C83" s="374"/>
      <c r="D83" s="372"/>
      <c r="E83" s="373"/>
      <c r="F83" s="42"/>
      <c r="G83" s="42"/>
      <c r="H83" s="991"/>
      <c r="I83" s="309"/>
      <c r="J83" s="1911"/>
      <c r="K83" s="3399" t="s">
        <v>2852</v>
      </c>
      <c r="L83" s="2768" t="s">
        <v>2853</v>
      </c>
      <c r="M83" s="2758">
        <f ca="1">IF(N69&gt;10000,N69*0.5%,IF(AND(N69&gt;1000,N69&lt;=10000),N69*1%,IF(AND(N69&gt;100,N69&lt;=1000),N69*3%,IF(AND(N69&gt;10,N69&lt;=100),N69*5%,N69*8%))))</f>
        <v>252.64500000000001</v>
      </c>
      <c r="N83" s="53">
        <f ca="1">ROUND(M83,1)</f>
        <v>252.6</v>
      </c>
      <c r="O83" s="2761"/>
      <c r="P83" s="1911"/>
      <c r="Q83" s="1911"/>
      <c r="R83" s="1911"/>
      <c r="S83" s="1911"/>
      <c r="T83" s="1911"/>
      <c r="U83" s="1911"/>
      <c r="V83" s="1911"/>
    </row>
    <row r="84" spans="1:26" ht="12.75">
      <c r="A84" s="375" t="s">
        <v>1816</v>
      </c>
      <c r="B84" s="376" t="s">
        <v>428</v>
      </c>
      <c r="C84" s="377"/>
      <c r="D84" s="378" t="s">
        <v>19</v>
      </c>
      <c r="E84" s="2786" t="s">
        <v>2902</v>
      </c>
      <c r="F84" s="42"/>
      <c r="G84" s="42"/>
      <c r="H84" s="991"/>
      <c r="I84" s="309"/>
      <c r="J84" s="1911"/>
      <c r="K84" s="3399"/>
      <c r="L84" s="2768" t="s">
        <v>2854</v>
      </c>
      <c r="M84" s="2758">
        <f ca="1">IF(N69&gt;2000,N69*0.5%,IF(AND(N69&gt;1000,N69&lt;=2000),N69*0.6%,IF(AND(N69&gt;500,N69&lt;=1000),N69*0.7%,IF(AND(N69&gt;200,N69&lt;=500),N69*0.8%,IF(AND(N69&gt;100,N69&lt;=200),N69*0.9%,IF(AND(N69&gt;50,N69&lt;=100),N69*1%,IF(AND(N69&gt;20,N69&lt;=50),N69*1.5%,IF(AND(N69&gt;10,N69&lt;=20),N69*2%,IF(AND(N69&gt;1,N69&lt;=10),N69*2.5%)))))))))</f>
        <v>252.64500000000001</v>
      </c>
      <c r="N84" s="53">
        <f t="shared" ref="N84:N85" ca="1" si="2">ROUND(M84,1)</f>
        <v>252.6</v>
      </c>
      <c r="O84" s="1911" t="s">
        <v>2855</v>
      </c>
      <c r="P84" s="1911"/>
      <c r="Q84" s="1911"/>
      <c r="R84" s="1911"/>
      <c r="S84" s="1911"/>
      <c r="T84" s="1911"/>
      <c r="U84" s="1911"/>
      <c r="V84" s="1911"/>
    </row>
    <row r="85" spans="1:26" ht="12.75">
      <c r="A85" s="375" t="s">
        <v>1817</v>
      </c>
      <c r="B85" s="376" t="s">
        <v>429</v>
      </c>
      <c r="C85" s="379">
        <f ca="1">C81-C84</f>
        <v>48123</v>
      </c>
      <c r="D85" s="372" t="s">
        <v>19</v>
      </c>
      <c r="E85" s="373"/>
      <c r="F85" s="42"/>
      <c r="G85" s="42"/>
      <c r="H85" s="991"/>
      <c r="I85" s="309"/>
      <c r="J85" s="1911"/>
      <c r="K85" s="3399"/>
      <c r="L85" s="2768" t="s">
        <v>2856</v>
      </c>
      <c r="M85" s="2758">
        <f ca="1">IF(N69&gt;1000,N69*0.1%,IF(AND(N69&gt;500,N69&lt;=1000),N69*0.5%,IF(AND(N69&gt;50,N69&lt;=500),N69*1%,IF(AND(N69&gt;1,N69&lt;=50),N69*1.5%))))</f>
        <v>50.529000000000003</v>
      </c>
      <c r="N85" s="53">
        <f t="shared" ca="1" si="2"/>
        <v>50.5</v>
      </c>
      <c r="O85" s="1911" t="s">
        <v>2855</v>
      </c>
      <c r="P85" s="1911"/>
      <c r="Q85" s="1911"/>
      <c r="R85" s="1911"/>
      <c r="S85" s="1911"/>
      <c r="T85" s="1911"/>
      <c r="U85" s="1911"/>
      <c r="V85" s="1911"/>
    </row>
    <row r="86" spans="1:26" ht="13.5" thickBot="1">
      <c r="A86" s="380" t="s">
        <v>1818</v>
      </c>
      <c r="B86" s="381" t="s">
        <v>430</v>
      </c>
      <c r="C86" s="382">
        <f ca="1">IF(C85&lt;=0,0,ROUND(C85*D86,0))</f>
        <v>2647</v>
      </c>
      <c r="D86" s="383">
        <f>'数据-取费表'!B41</f>
        <v>5.5000000000000007E-2</v>
      </c>
      <c r="E86" s="384"/>
      <c r="F86" s="42"/>
      <c r="G86" s="42"/>
      <c r="H86" s="991"/>
      <c r="I86" s="309"/>
      <c r="J86" s="1911"/>
      <c r="K86" s="3399"/>
      <c r="L86" s="2768" t="s">
        <v>2857</v>
      </c>
      <c r="M86" s="2758">
        <f ca="1">N69*0.5%</f>
        <v>252.64500000000001</v>
      </c>
      <c r="N86" s="53">
        <f ca="1">IF(M86&gt;0.5,0.5,ROUND(M86,0))</f>
        <v>0.5</v>
      </c>
      <c r="O86" s="1911" t="s">
        <v>2858</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99"/>
      <c r="L87" s="2768" t="s">
        <v>2859</v>
      </c>
      <c r="M87" s="2758">
        <f ca="1">IF(N69&gt;=10000,(8.25+(N69-10000)*0.01%),IF(AND(N69&gt;=8000,N69&lt;10000),(7.85+(N69-8000)*0.02%),IF(AND(N69&gt;=5000,N69&lt;8000),(6.65+(N69-5000)*0.04%),IF(AND(N69&gt;=2000,N69&lt;5000),(4.25+(PN69-2000)*0.08%),IF(AND(N69&gt;=1000,N69&lt;2000),(2.75+(N69-1000)*0.15%),IF(AND(N69&gt;=100,N69&lt;1000),(0.5+(N69-100)*0.25%),IF(AND(N69&gt;0,N69&lt;100),N69*0.5%)))))))</f>
        <v>12.302900000000001</v>
      </c>
      <c r="N87" s="53">
        <f ca="1">ROUND(M87*0.9,1)</f>
        <v>11.1</v>
      </c>
      <c r="O87" s="2761"/>
      <c r="P87" s="1911"/>
      <c r="Q87" s="1911"/>
      <c r="R87" s="1911"/>
      <c r="S87" s="1911"/>
      <c r="T87" s="1911"/>
      <c r="U87" s="1911"/>
      <c r="V87" s="1911"/>
      <c r="W87" s="290"/>
      <c r="X87" s="290"/>
      <c r="Y87" s="290"/>
      <c r="Z87" s="290"/>
    </row>
    <row r="88" spans="1:26" s="1268" customFormat="1" ht="15" thickBot="1">
      <c r="A88" s="3438" t="s">
        <v>431</v>
      </c>
      <c r="B88" s="3439"/>
      <c r="C88" s="3439"/>
      <c r="D88" s="3439"/>
      <c r="E88" s="3439"/>
      <c r="F88" s="3439"/>
      <c r="G88" s="3439"/>
      <c r="H88" s="3439"/>
      <c r="I88" s="1269"/>
      <c r="J88" s="1919"/>
      <c r="K88" s="3399"/>
      <c r="L88" s="2768" t="s">
        <v>2860</v>
      </c>
      <c r="M88" s="2758">
        <f ca="1">IF(N69&gt;10000,N69*0.5%,IF(AND(N69&gt;5000,N69&lt;=10000),N69*1%,IF(AND(N69&gt;1000,N69&lt;=5000),N69*2%,IF(AND(N69&gt;200,N69&lt;=1000),N69*3%,N69*5%))))</f>
        <v>252.64500000000001</v>
      </c>
      <c r="N88" s="53">
        <f ca="1">ROUND(M88,1)</f>
        <v>252.6</v>
      </c>
      <c r="O88" s="2761"/>
      <c r="P88" s="1916"/>
      <c r="Q88" s="1916"/>
      <c r="R88" s="1916"/>
      <c r="S88" s="1916"/>
      <c r="T88" s="1916"/>
      <c r="U88" s="1916"/>
      <c r="V88" s="1916"/>
      <c r="W88" s="1920"/>
      <c r="X88" s="1920"/>
      <c r="Y88" s="1920"/>
      <c r="Z88" s="1920"/>
    </row>
    <row r="89" spans="1:26" s="1268" customFormat="1" ht="14.25">
      <c r="A89" s="3397" t="s">
        <v>422</v>
      </c>
      <c r="B89" s="3398"/>
      <c r="C89" s="982"/>
      <c r="D89" s="982" t="s">
        <v>423</v>
      </c>
      <c r="E89" s="385" t="s">
        <v>432</v>
      </c>
      <c r="F89" s="386"/>
      <c r="G89" s="386"/>
      <c r="H89" s="387"/>
      <c r="I89" s="1270"/>
      <c r="J89" s="1921"/>
      <c r="K89" s="3399"/>
      <c r="L89" s="2768" t="s">
        <v>27</v>
      </c>
      <c r="M89" s="2759"/>
      <c r="N89" s="53">
        <f ca="1">ROUND(SUM(N83:N88),0)</f>
        <v>820</v>
      </c>
      <c r="O89" s="2769">
        <f ca="1">N89/N69</f>
        <v>1.6228304537988087E-2</v>
      </c>
      <c r="P89" s="1916"/>
      <c r="Q89" s="1916"/>
      <c r="R89" s="1916"/>
      <c r="S89" s="1916"/>
      <c r="T89" s="1916"/>
      <c r="U89" s="1916"/>
      <c r="V89" s="1916"/>
      <c r="W89" s="1920"/>
      <c r="X89" s="1920"/>
      <c r="Y89" s="1920"/>
      <c r="Z89" s="1920"/>
    </row>
    <row r="90" spans="1:26" s="1268" customFormat="1" ht="14.25">
      <c r="A90" s="375" t="s">
        <v>1813</v>
      </c>
      <c r="B90" s="376" t="s">
        <v>433</v>
      </c>
      <c r="C90" s="379">
        <f ca="1">ROUND(D63/(1+'数据-取费表'!C42),0)</f>
        <v>48123</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434</v>
      </c>
      <c r="C91" s="379">
        <f ca="1">C92+C96</f>
        <v>241</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435</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436</v>
      </c>
      <c r="C93" s="390"/>
      <c r="D93" s="372" t="s">
        <v>19</v>
      </c>
      <c r="E93" s="391" t="s">
        <v>437</v>
      </c>
      <c r="F93" s="392"/>
      <c r="G93" s="391" t="s">
        <v>438</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439</v>
      </c>
      <c r="C94" s="372">
        <f>IF(F93="购房发票",ROUND(C93*H93*5%,0),0)</f>
        <v>0</v>
      </c>
      <c r="D94" s="395">
        <v>0.05</v>
      </c>
      <c r="E94" s="3435" t="s">
        <v>440</v>
      </c>
      <c r="F94" s="3436"/>
      <c r="G94" s="3436"/>
      <c r="H94" s="343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443</v>
      </c>
      <c r="C96" s="399">
        <f ca="1">ROUND(D63*D96/(1+'数据-取费表'!C42),0)</f>
        <v>241</v>
      </c>
      <c r="D96" s="400">
        <f>'数据-取费表'!B43</f>
        <v>5.000000000000001E-3</v>
      </c>
      <c r="E96" s="3394" t="s">
        <v>2412</v>
      </c>
      <c r="F96" s="3395"/>
      <c r="G96" s="3395"/>
      <c r="H96" s="339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444</v>
      </c>
      <c r="C97" s="379">
        <f ca="1">C90-C91</f>
        <v>47882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445</v>
      </c>
      <c r="C98" s="401">
        <f ca="1">IF(C97&lt;=0,0,C97/C91)</f>
        <v>198.68049792531122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446</v>
      </c>
      <c r="C99" s="402">
        <f ca="1">ROUND(IF(C97&lt;=0,0,IF(C98&gt;=200%,C97*60%-C91*35%,IF(C98&gt;=100%,C97*50%-C91*15%,IF(C98&gt;=50%,C97*40%-C91*5%,IF(C98&lt;50%,C97*30%,0))))),0)</f>
        <v>28645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38" t="s">
        <v>447</v>
      </c>
      <c r="B101" s="3439"/>
      <c r="C101" s="3439"/>
      <c r="D101" s="3439"/>
      <c r="E101" s="3439"/>
      <c r="F101" s="3439"/>
      <c r="G101" s="3439"/>
      <c r="H101" s="343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7" t="s">
        <v>422</v>
      </c>
      <c r="B102" s="3398"/>
      <c r="C102" s="982"/>
      <c r="D102" s="982" t="s">
        <v>423</v>
      </c>
      <c r="E102" s="385" t="s">
        <v>432</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433</v>
      </c>
      <c r="C103" s="379">
        <f ca="1">ROUND(D63/(1+'数据-取费表'!C42),0)</f>
        <v>48123</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434</v>
      </c>
      <c r="C104" s="379">
        <f ca="1">IF(H106="仅含出让金",C105+C108+C109+C110+C111+C112,C105+C109+C110+C111+C112)</f>
        <v>241</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448</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449</v>
      </c>
      <c r="C106" s="410"/>
      <c r="D106" s="400"/>
      <c r="E106" s="411" t="s">
        <v>450</v>
      </c>
      <c r="F106" s="974"/>
      <c r="G106" s="412" t="s">
        <v>451</v>
      </c>
      <c r="H106" s="413"/>
      <c r="I106" s="11"/>
      <c r="J106" s="1916"/>
      <c r="K106" s="3242" t="s">
        <v>2985</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441</v>
      </c>
      <c r="C107" s="399">
        <f>ROUND(C106*D107,0)</f>
        <v>0</v>
      </c>
      <c r="D107" s="400">
        <f>'数据-取费表'!B48+'数据-取费表'!B49</f>
        <v>3.0499999999999999E-2</v>
      </c>
      <c r="E107" s="411" t="s">
        <v>452</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453</v>
      </c>
      <c r="C108" s="410"/>
      <c r="D108" s="400"/>
      <c r="E108" s="411" t="str">
        <f>IF(H106="-","土地取得成本中已包含该笔费用"," ")</f>
        <v xml:space="preserve"> </v>
      </c>
      <c r="F108" s="974"/>
      <c r="G108" s="3450" t="s">
        <v>2956</v>
      </c>
      <c r="H108" s="3451"/>
      <c r="I108" s="2858"/>
      <c r="J108" s="1916"/>
      <c r="K108" s="3242" t="s">
        <v>2986</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454</v>
      </c>
      <c r="C109" s="399">
        <f>IF(H109="——",IF(F1="现房",'剩余法-现房'!C18,0),I109)</f>
        <v>0</v>
      </c>
      <c r="D109" s="400"/>
      <c r="E109" s="3428" t="s">
        <v>455</v>
      </c>
      <c r="F109" s="3395"/>
      <c r="G109" s="339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456</v>
      </c>
      <c r="C110" s="399">
        <f>ROUND((C105+C108+C109)*D110,0)</f>
        <v>0</v>
      </c>
      <c r="D110" s="3273">
        <v>0</v>
      </c>
      <c r="E110" s="3428" t="s">
        <v>457</v>
      </c>
      <c r="F110" s="3395"/>
      <c r="G110" s="3395"/>
      <c r="H110" s="3396"/>
      <c r="I110" s="11"/>
      <c r="J110" s="1916"/>
      <c r="K110" s="3243" t="s">
        <v>2987</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443</v>
      </c>
      <c r="C111" s="399">
        <f ca="1">ROUND(D63*D111/(1+'数据-取费表'!C42),0)</f>
        <v>241</v>
      </c>
      <c r="D111" s="400">
        <f>'数据-取费表'!B43</f>
        <v>5.000000000000001E-3</v>
      </c>
      <c r="E111" s="3394" t="s">
        <v>2412</v>
      </c>
      <c r="F111" s="3395"/>
      <c r="G111" s="3395"/>
      <c r="H111" s="339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458</v>
      </c>
      <c r="C112" s="399">
        <f>ROUND(C108*D112,0)</f>
        <v>0</v>
      </c>
      <c r="D112" s="400">
        <v>0.2</v>
      </c>
      <c r="E112" s="3428" t="s">
        <v>2435</v>
      </c>
      <c r="F112" s="3395"/>
      <c r="G112" s="3395"/>
      <c r="H112" s="339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444</v>
      </c>
      <c r="C113" s="379">
        <f ca="1">ROUND(C103-C104,0)</f>
        <v>47882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445</v>
      </c>
      <c r="C114" s="401">
        <f ca="1">IF(C113&lt;=0,0,C113/C104)</f>
        <v>198.68049792531122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446</v>
      </c>
      <c r="C115" s="402">
        <f ca="1">ROUND(IF(C113&lt;=0,0,IF(C114&gt;=200%,C113*60%-C104*35%,IF(C114&gt;=100%,C113*50%-C104*15%,IF(C114&gt;=50%,C113*40%-C104*5%,IF(C114&lt;50%,C113*30%,0))))),0)</f>
        <v>28645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460</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461</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462</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463</v>
      </c>
      <c r="B7" s="429" t="s">
        <v>464</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465</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467</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463</v>
      </c>
      <c r="B12" s="438" t="s">
        <v>464</v>
      </c>
      <c r="C12" s="439" t="s">
        <v>468</v>
      </c>
      <c r="D12" s="440" t="s">
        <v>469</v>
      </c>
      <c r="E12" s="440" t="s">
        <v>470</v>
      </c>
      <c r="F12" s="440" t="s">
        <v>471</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1838</v>
      </c>
      <c r="B13" s="443" t="s">
        <v>472</v>
      </c>
      <c r="C13" s="444">
        <f ca="1">IF(B1="",'数据-取费表'!M16,INDIRECT("'数据-取费表'!M"&amp;$K$1)+INDIRECT("'数据-取费表'!t"&amp;$K$1))</f>
        <v>23940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473</v>
      </c>
      <c r="C14" s="53">
        <f ca="1">ROUND(C13*F14,0)</f>
        <v>718</v>
      </c>
      <c r="D14" s="445"/>
      <c r="E14" s="363"/>
      <c r="F14" s="447">
        <f>'数据-取费表'!B33</f>
        <v>0.03</v>
      </c>
      <c r="G14" s="438" t="s">
        <v>495</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475</v>
      </c>
      <c r="C15" s="53">
        <f ca="1">ROUND(IF(B1="",SUMIF('数据-取费表'!C:C,"住宅",'数据-取费表'!M:M)*F15,IF(INDIRECT("'数据-取费表'!c"&amp;$K$1)="住宅",INDIRECT("'数据-取费表'!M"&amp;$K$1)*F15,0)),0)</f>
        <v>0</v>
      </c>
      <c r="D15" s="445"/>
      <c r="E15" s="363"/>
      <c r="F15" s="447">
        <f>'数据-取费表'!B34</f>
        <v>0</v>
      </c>
      <c r="G15" s="438" t="s">
        <v>495</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477</v>
      </c>
      <c r="C16" s="53">
        <f ca="1">ROUND(D16*E16/10000,0)</f>
        <v>1364</v>
      </c>
      <c r="D16" s="445">
        <f ca="1">IF(B1="",'数据-汇总表'!E3,INDIRECT("'数据-取费表'!K"&amp;$K$1)+INDIRECT("'数据-取费表'!S"&amp;$K$1))</f>
        <v>68200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478</v>
      </c>
      <c r="C17" s="448">
        <f ca="1">ROUND(C13*F17,0)</f>
        <v>359</v>
      </c>
      <c r="D17" s="449"/>
      <c r="E17" s="448"/>
      <c r="F17" s="450">
        <f>'数据-取费表'!B36</f>
        <v>1.4999999999999999E-2</v>
      </c>
      <c r="G17" s="438" t="s">
        <v>495</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480</v>
      </c>
      <c r="C18" s="454">
        <f ca="1">SUM(C13:C17)</f>
        <v>26381</v>
      </c>
      <c r="D18" s="455"/>
      <c r="E18" s="456"/>
      <c r="F18" s="456"/>
      <c r="G18" s="1281"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1844</v>
      </c>
      <c r="B19" s="453" t="s">
        <v>486</v>
      </c>
      <c r="C19" s="454">
        <f ca="1">ROUND(C18*F19,0)</f>
        <v>528</v>
      </c>
      <c r="D19" s="456"/>
      <c r="E19" s="456"/>
      <c r="F19" s="460">
        <f>'数据-取费表'!B37</f>
        <v>0.02</v>
      </c>
      <c r="G19" s="438" t="s">
        <v>496</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1845</v>
      </c>
      <c r="B20" s="453" t="s">
        <v>497</v>
      </c>
      <c r="C20" s="2742">
        <f>F20</f>
        <v>0.02</v>
      </c>
      <c r="D20" s="463" t="s">
        <v>498</v>
      </c>
      <c r="E20" s="463"/>
      <c r="F20" s="480">
        <f>'数据-取费表'!B38</f>
        <v>0.02</v>
      </c>
      <c r="G20" s="1281" t="s">
        <v>499</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1848</v>
      </c>
      <c r="B21" s="455" t="s">
        <v>487</v>
      </c>
      <c r="C21" s="464">
        <f ca="1">C22</f>
        <v>1171</v>
      </c>
      <c r="D21" s="461">
        <f ca="1">C23</f>
        <v>8.9999999999999998E-4</v>
      </c>
      <c r="E21" s="463" t="s">
        <v>500</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2" customFormat="1" ht="13.5" customHeight="1">
      <c r="A22" s="1561" t="s">
        <v>1838</v>
      </c>
      <c r="B22" s="1282" t="s">
        <v>2418</v>
      </c>
      <c r="C22" s="481">
        <f ca="1">ROUND(IF('数据-取费表'!B22&lt;=1,(C18+C19)*F21*'数据-取费表'!B20/2,(C18+C19)*(POWER((1+F21),'数据-取费表'!B20/2)-1)),0)</f>
        <v>1171</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1839</v>
      </c>
      <c r="B23" s="1282" t="s">
        <v>501</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1849</v>
      </c>
      <c r="B24" s="2744" t="s">
        <v>2810</v>
      </c>
      <c r="C24" s="472">
        <f ca="1">C25</f>
        <v>2153</v>
      </c>
      <c r="D24" s="483">
        <f ca="1">C26</f>
        <v>1.6000000000000001E-3</v>
      </c>
      <c r="E24" s="463" t="s">
        <v>500</v>
      </c>
      <c r="F24" s="473">
        <f ca="1">IF(B1="",'数据-取费表'!Q16,INDIRECT("'数据-取费表'!q"&amp;$K$1))</f>
        <v>0.08</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1838</v>
      </c>
      <c r="B25" s="1282" t="s">
        <v>2419</v>
      </c>
      <c r="C25" s="484">
        <f ca="1">ROUND((C18+C19)*F24,0)</f>
        <v>2153</v>
      </c>
      <c r="D25" s="466"/>
      <c r="E25" s="467"/>
      <c r="F25" s="474"/>
      <c r="G25" s="1280"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1839</v>
      </c>
      <c r="B26" s="1282" t="s">
        <v>502</v>
      </c>
      <c r="C26" s="485">
        <f ca="1">ROUND(F20*F24,4)</f>
        <v>1.6000000000000001E-3</v>
      </c>
      <c r="D26" s="466"/>
      <c r="E26" s="475"/>
      <c r="F26" s="474"/>
      <c r="G26" s="1280" t="s">
        <v>503</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1857</v>
      </c>
      <c r="B27" s="453" t="s">
        <v>504</v>
      </c>
      <c r="C27" s="2743">
        <f>ROUND(F27/(1+'数据-取费表'!C42),4)</f>
        <v>5.2400000000000002E-2</v>
      </c>
      <c r="D27" s="456" t="s">
        <v>2808</v>
      </c>
      <c r="E27" s="456"/>
      <c r="F27" s="460">
        <f>'数据-取费表'!B41</f>
        <v>5.5000000000000007E-2</v>
      </c>
      <c r="G27" s="1874"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1858</v>
      </c>
      <c r="B28" s="470" t="s">
        <v>505</v>
      </c>
      <c r="C28" s="464">
        <f ca="1">ROUND((C18+C19+C21+C24)/(1-C20-D21-D24-C27),0)</f>
        <v>32681</v>
      </c>
      <c r="D28" s="471"/>
      <c r="E28" s="463"/>
      <c r="F28" s="465"/>
      <c r="G28" s="1281"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1859</v>
      </c>
      <c r="B29" s="470" t="s">
        <v>506</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507</v>
      </c>
      <c r="C30" s="491">
        <f ca="1">ROUND(C28*C29,0)</f>
        <v>0</v>
      </c>
      <c r="D30" s="487"/>
      <c r="E30" s="492"/>
      <c r="F30" s="493"/>
      <c r="G30" s="1283" t="s">
        <v>508</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1855</v>
      </c>
      <c r="B31" s="1284"/>
      <c r="C31" s="494">
        <f>ROUND(C6*F31/(1+'数据-取费表'!C42),0)</f>
        <v>0</v>
      </c>
      <c r="D31" s="1285"/>
      <c r="E31" s="1285"/>
      <c r="F31" s="495">
        <f>'数据-取费表'!B41</f>
        <v>5.5000000000000007E-2</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K13" sqref="K1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509</v>
      </c>
      <c r="B1" s="497"/>
      <c r="C1" s="498" t="s">
        <v>510</v>
      </c>
      <c r="D1" s="499" t="s">
        <v>511</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9"/>
    </row>
    <row r="2" spans="1:30" s="1290" customFormat="1" ht="28.5" customHeight="1">
      <c r="A2" s="417" t="s">
        <v>460</v>
      </c>
      <c r="B2" s="502">
        <f>F68</f>
        <v>50707</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9"/>
    </row>
    <row r="3" spans="1:30" s="1290" customFormat="1" ht="28.5" customHeight="1">
      <c r="A3" s="1330" t="s">
        <v>1674</v>
      </c>
      <c r="B3" s="504">
        <f>ROUND(B2*10000/'数据-汇总表'!E3,0)</f>
        <v>7435</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90" customFormat="1" ht="28.5" customHeight="1">
      <c r="A4" s="505" t="s">
        <v>513</v>
      </c>
      <c r="B4" s="421">
        <f>IF(B48="单位面积地价",C50,ROUND(B2*10000/'数据-汇总表'!D3,0))</f>
        <v>28174</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1878</v>
      </c>
      <c r="C5" s="425" t="s">
        <v>462</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514</v>
      </c>
      <c r="B6" s="507"/>
      <c r="C6" s="3489" t="s">
        <v>515</v>
      </c>
      <c r="D6" s="3490"/>
      <c r="E6" s="3489" t="s">
        <v>516</v>
      </c>
      <c r="F6" s="3490"/>
      <c r="G6" s="3489" t="s">
        <v>517</v>
      </c>
      <c r="H6" s="3490"/>
      <c r="I6" s="3489" t="s">
        <v>518</v>
      </c>
      <c r="J6" s="3490"/>
      <c r="K6" s="508" t="s">
        <v>519</v>
      </c>
      <c r="L6" s="2015"/>
      <c r="M6" s="2014"/>
      <c r="N6" s="2014"/>
      <c r="O6" s="2016"/>
      <c r="P6" s="3491" t="s">
        <v>520</v>
      </c>
      <c r="Q6" s="3492"/>
      <c r="R6" s="3477" t="s">
        <v>516</v>
      </c>
      <c r="S6" s="3478"/>
      <c r="T6" s="3477" t="s">
        <v>517</v>
      </c>
      <c r="U6" s="3478"/>
      <c r="V6" s="3497" t="s">
        <v>518</v>
      </c>
      <c r="W6" s="3497"/>
      <c r="X6" s="1501"/>
      <c r="Y6" s="3477" t="s">
        <v>520</v>
      </c>
      <c r="Z6" s="3478"/>
      <c r="AA6" s="3472" t="s">
        <v>516</v>
      </c>
      <c r="AB6" s="3473" t="s">
        <v>517</v>
      </c>
      <c r="AC6" s="3472" t="s">
        <v>518</v>
      </c>
    </row>
    <row r="7" spans="1:30" ht="20.25">
      <c r="A7" s="509"/>
      <c r="B7" s="510"/>
      <c r="C7" s="3500" t="s">
        <v>2891</v>
      </c>
      <c r="D7" s="3501"/>
      <c r="E7" s="3500" t="s">
        <v>2892</v>
      </c>
      <c r="F7" s="3501"/>
      <c r="G7" s="3500" t="s">
        <v>2893</v>
      </c>
      <c r="H7" s="3501"/>
      <c r="I7" s="3500" t="s">
        <v>2894</v>
      </c>
      <c r="J7" s="3501"/>
      <c r="K7" s="508"/>
      <c r="L7" s="2015"/>
      <c r="M7" s="2014"/>
      <c r="N7" s="2014"/>
      <c r="O7" s="2016"/>
      <c r="P7" s="3493"/>
      <c r="Q7" s="3494"/>
      <c r="R7" s="3479"/>
      <c r="S7" s="3480"/>
      <c r="T7" s="3479"/>
      <c r="U7" s="3480"/>
      <c r="V7" s="3497"/>
      <c r="W7" s="3497"/>
      <c r="X7" s="1501"/>
      <c r="Y7" s="3479"/>
      <c r="Z7" s="3480"/>
      <c r="AA7" s="3473"/>
      <c r="AB7" s="3473"/>
      <c r="AC7" s="3473"/>
    </row>
    <row r="8" spans="1:30" ht="21" thickBot="1">
      <c r="A8" s="509"/>
      <c r="B8" s="510"/>
      <c r="C8" s="3502" t="s">
        <v>2895</v>
      </c>
      <c r="D8" s="3503"/>
      <c r="E8" s="3502" t="s">
        <v>2895</v>
      </c>
      <c r="F8" s="3503"/>
      <c r="G8" s="3498" t="s">
        <v>2895</v>
      </c>
      <c r="H8" s="3499"/>
      <c r="I8" s="3498" t="s">
        <v>2895</v>
      </c>
      <c r="J8" s="3499"/>
      <c r="K8" s="508" t="s">
        <v>521</v>
      </c>
      <c r="L8" s="2015"/>
      <c r="M8" s="2014"/>
      <c r="N8" s="2014"/>
      <c r="O8" s="2016"/>
      <c r="P8" s="3495"/>
      <c r="Q8" s="3496"/>
      <c r="R8" s="3479"/>
      <c r="S8" s="3480"/>
      <c r="T8" s="3481"/>
      <c r="U8" s="3482"/>
      <c r="V8" s="3497"/>
      <c r="W8" s="3497"/>
      <c r="X8" s="1501"/>
      <c r="Y8" s="3481"/>
      <c r="Z8" s="3482"/>
      <c r="AA8" s="3474"/>
      <c r="AB8" s="3474"/>
      <c r="AC8" s="3474"/>
    </row>
    <row r="9" spans="1:30" s="1203" customFormat="1" ht="21" thickBot="1">
      <c r="A9" s="2629"/>
      <c r="B9" s="2636" t="s">
        <v>522</v>
      </c>
      <c r="C9" s="2628">
        <f>'数据-取费表'!B2</f>
        <v>44448</v>
      </c>
      <c r="D9" s="514">
        <v>100</v>
      </c>
      <c r="E9" s="515" t="str">
        <f>土地案例!K22</f>
        <v>2019-05-28</v>
      </c>
      <c r="F9" s="516">
        <f>SUMIF(72:72,YEAR(E9)&amp;"-"&amp;INT((MONTH(E9)+2)/3),73:73)</f>
        <v>95.5</v>
      </c>
      <c r="G9" s="517" t="str">
        <f>土地案例!K43</f>
        <v>2020-08-03</v>
      </c>
      <c r="H9" s="514">
        <f>SUMIF(72:72,YEAR(G9)&amp;"-"&amp;INT((MONTH(G9)+2)/3),73:73)</f>
        <v>98</v>
      </c>
      <c r="I9" s="517" t="str">
        <f>土地案例!K44</f>
        <v>2021-02-01</v>
      </c>
      <c r="J9" s="514">
        <f>SUMIF(72:72,YEAR(I9)&amp;"-"&amp;INT((MONTH(I9)+2)/3),73:73)</f>
        <v>99</v>
      </c>
      <c r="K9" s="518"/>
      <c r="L9" s="2017"/>
      <c r="M9" s="2014"/>
      <c r="N9" s="2014"/>
      <c r="O9" s="2018"/>
      <c r="P9" s="3475" t="s">
        <v>523</v>
      </c>
      <c r="Q9" s="3484"/>
      <c r="R9" s="1502" t="s">
        <v>8</v>
      </c>
      <c r="S9" s="1503">
        <f t="shared" ref="S9:S17" si="0">F9</f>
        <v>95.5</v>
      </c>
      <c r="T9" s="1502" t="s">
        <v>8</v>
      </c>
      <c r="U9" s="1503">
        <f t="shared" ref="U9:U17" si="1">H9</f>
        <v>98</v>
      </c>
      <c r="V9" s="1502" t="s">
        <v>8</v>
      </c>
      <c r="W9" s="1503">
        <f t="shared" ref="W9:W17" si="2">J9</f>
        <v>99</v>
      </c>
      <c r="X9" s="1504"/>
      <c r="Y9" s="3475" t="s">
        <v>523</v>
      </c>
      <c r="Z9" s="3476"/>
      <c r="AA9" s="1505">
        <f>D9/F9</f>
        <v>1.0471204188481675</v>
      </c>
      <c r="AB9" s="1505">
        <f>D9/H9</f>
        <v>1.0204081632653061</v>
      </c>
      <c r="AC9" s="1505">
        <f>D9/J9</f>
        <v>1.0101010101010102</v>
      </c>
    </row>
    <row r="10" spans="1:30" s="1203" customFormat="1" ht="21" thickBot="1">
      <c r="A10" s="2630"/>
      <c r="B10" s="2637" t="s">
        <v>524</v>
      </c>
      <c r="C10" s="845" t="s">
        <v>525</v>
      </c>
      <c r="D10" s="514">
        <v>100</v>
      </c>
      <c r="E10" s="519" t="s">
        <v>3264</v>
      </c>
      <c r="F10" s="516">
        <f>SUMIF(75:75,E10,76:76)-SUMIF(75:75,C10,76:76)+100</f>
        <v>100</v>
      </c>
      <c r="G10" s="519" t="s">
        <v>3264</v>
      </c>
      <c r="H10" s="514">
        <f>SUMIF(75:75,G10,76:76)-SUMIF(75:75,C10,76:76)+100</f>
        <v>100</v>
      </c>
      <c r="I10" s="519" t="s">
        <v>3264</v>
      </c>
      <c r="J10" s="514">
        <f>SUMIF(75:75,I10,76:76)-SUMIF(75:75,C10,76:76)+100</f>
        <v>100</v>
      </c>
      <c r="K10" s="518"/>
      <c r="L10" s="2017"/>
      <c r="M10" s="2014"/>
      <c r="N10" s="2014"/>
      <c r="O10" s="2018"/>
      <c r="P10" s="3475" t="s">
        <v>526</v>
      </c>
      <c r="Q10" s="3476"/>
      <c r="R10" s="1502" t="s">
        <v>8</v>
      </c>
      <c r="S10" s="1503">
        <f t="shared" si="0"/>
        <v>100</v>
      </c>
      <c r="T10" s="1502" t="s">
        <v>8</v>
      </c>
      <c r="U10" s="1503">
        <f t="shared" si="1"/>
        <v>100</v>
      </c>
      <c r="V10" s="1502" t="s">
        <v>8</v>
      </c>
      <c r="W10" s="1503">
        <f t="shared" si="2"/>
        <v>100</v>
      </c>
      <c r="X10" s="1504"/>
      <c r="Y10" s="3475" t="s">
        <v>526</v>
      </c>
      <c r="Z10" s="3476"/>
      <c r="AA10" s="1505">
        <f t="shared" ref="AA10:AA47" si="3">D10/F10</f>
        <v>1</v>
      </c>
      <c r="AB10" s="1505">
        <f t="shared" ref="AB10:AB47" si="4">D10/H10</f>
        <v>1</v>
      </c>
      <c r="AC10" s="1505">
        <f t="shared" ref="AC10:AC47" si="5">D10/J10</f>
        <v>1</v>
      </c>
    </row>
    <row r="11" spans="1:30" s="1203"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3" t="s">
        <v>528</v>
      </c>
      <c r="Q11" s="1134" t="str">
        <f t="shared" ref="Q11:Q17" si="6">B11</f>
        <v>用途</v>
      </c>
      <c r="R11" s="1502" t="s">
        <v>8</v>
      </c>
      <c r="S11" s="1503">
        <f t="shared" si="0"/>
        <v>100</v>
      </c>
      <c r="T11" s="1502" t="s">
        <v>8</v>
      </c>
      <c r="U11" s="1503">
        <f t="shared" si="1"/>
        <v>100</v>
      </c>
      <c r="V11" s="1502" t="s">
        <v>8</v>
      </c>
      <c r="W11" s="1503">
        <f t="shared" si="2"/>
        <v>100</v>
      </c>
      <c r="X11" s="1504"/>
      <c r="Y11" s="3434" t="s">
        <v>529</v>
      </c>
      <c r="Z11" s="1133" t="str">
        <f t="shared" ref="Z11:Z17" si="7">Q11</f>
        <v>用途</v>
      </c>
      <c r="AA11" s="1505">
        <f t="shared" si="3"/>
        <v>1</v>
      </c>
      <c r="AB11" s="1505">
        <f t="shared" si="4"/>
        <v>1</v>
      </c>
      <c r="AC11" s="1505">
        <f t="shared" si="5"/>
        <v>1</v>
      </c>
    </row>
    <row r="12" spans="1:30" s="1292" customFormat="1" ht="27">
      <c r="A12" s="2632"/>
      <c r="B12" s="2637" t="s">
        <v>2736</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83"/>
      <c r="Q12" s="1134" t="str">
        <f t="shared" si="6"/>
        <v>土地使用年限（年）</v>
      </c>
      <c r="R12" s="1502" t="s">
        <v>8</v>
      </c>
      <c r="S12" s="1503">
        <f t="shared" si="0"/>
        <v>100</v>
      </c>
      <c r="T12" s="1502" t="s">
        <v>8</v>
      </c>
      <c r="U12" s="1503">
        <f t="shared" si="1"/>
        <v>100</v>
      </c>
      <c r="V12" s="1502" t="s">
        <v>8</v>
      </c>
      <c r="W12" s="1503">
        <f t="shared" si="2"/>
        <v>100</v>
      </c>
      <c r="X12" s="1504"/>
      <c r="Y12" s="3434"/>
      <c r="Z12" s="1133" t="str">
        <f t="shared" si="7"/>
        <v>土地使用年限（年）</v>
      </c>
      <c r="AA12" s="1505">
        <f t="shared" si="3"/>
        <v>1</v>
      </c>
      <c r="AB12" s="1505">
        <f t="shared" si="4"/>
        <v>1</v>
      </c>
      <c r="AC12" s="1505">
        <f t="shared" si="5"/>
        <v>1</v>
      </c>
    </row>
    <row r="13" spans="1:30" ht="20.25">
      <c r="A13" s="2633"/>
      <c r="B13" s="2637" t="s">
        <v>2737</v>
      </c>
      <c r="C13" s="528">
        <v>2.1</v>
      </c>
      <c r="D13" s="253">
        <v>100</v>
      </c>
      <c r="E13" s="527">
        <v>2</v>
      </c>
      <c r="F13" s="253">
        <f>LOOKUP(E13,82:82,83:83)-LOOKUP(C13,82:82,83:83)+100</f>
        <v>100</v>
      </c>
      <c r="G13" s="528">
        <v>3</v>
      </c>
      <c r="H13" s="253">
        <f>LOOKUP(G13,82:82,83:83)-LOOKUP(C13,82:82,83:83)+100</f>
        <v>95</v>
      </c>
      <c r="I13" s="527">
        <v>3</v>
      </c>
      <c r="J13" s="253">
        <f>LOOKUP(I13,82:82,83:83)-LOOKUP(C13,82:82,83:83)+100</f>
        <v>95</v>
      </c>
      <c r="K13" s="529">
        <v>5</v>
      </c>
      <c r="L13" s="2022"/>
      <c r="M13" s="2014"/>
      <c r="N13" s="2014"/>
      <c r="O13" s="2023"/>
      <c r="P13" s="3483"/>
      <c r="Q13" s="1134" t="str">
        <f t="shared" si="6"/>
        <v>容积率</v>
      </c>
      <c r="R13" s="1502" t="s">
        <v>8</v>
      </c>
      <c r="S13" s="1503">
        <f t="shared" si="0"/>
        <v>100</v>
      </c>
      <c r="T13" s="1502" t="s">
        <v>8</v>
      </c>
      <c r="U13" s="1503">
        <f t="shared" si="1"/>
        <v>95</v>
      </c>
      <c r="V13" s="1502" t="s">
        <v>8</v>
      </c>
      <c r="W13" s="1503">
        <f t="shared" si="2"/>
        <v>95</v>
      </c>
      <c r="X13" s="1504"/>
      <c r="Y13" s="3434"/>
      <c r="Z13" s="1133" t="str">
        <f t="shared" si="7"/>
        <v>容积率</v>
      </c>
      <c r="AA13" s="1505">
        <f t="shared" si="3"/>
        <v>1</v>
      </c>
      <c r="AB13" s="1505">
        <f t="shared" si="4"/>
        <v>1.0526315789473684</v>
      </c>
      <c r="AC13" s="1505">
        <f t="shared" si="5"/>
        <v>1.0526315789473684</v>
      </c>
    </row>
    <row r="14" spans="1:30" s="1203"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3"/>
      <c r="Q14" s="1134" t="str">
        <f t="shared" si="6"/>
        <v>配建</v>
      </c>
      <c r="R14" s="1502" t="s">
        <v>8</v>
      </c>
      <c r="S14" s="1503">
        <f t="shared" si="0"/>
        <v>100</v>
      </c>
      <c r="T14" s="1502" t="s">
        <v>8</v>
      </c>
      <c r="U14" s="1503">
        <f t="shared" si="1"/>
        <v>100</v>
      </c>
      <c r="V14" s="1502" t="s">
        <v>8</v>
      </c>
      <c r="W14" s="1503">
        <f t="shared" si="2"/>
        <v>100</v>
      </c>
      <c r="X14" s="1504"/>
      <c r="Y14" s="3434"/>
      <c r="Z14" s="1133" t="str">
        <f t="shared" si="7"/>
        <v>配建</v>
      </c>
      <c r="AA14" s="1505">
        <f>D14/F14</f>
        <v>1</v>
      </c>
      <c r="AB14" s="1505">
        <f>D14/H14</f>
        <v>1</v>
      </c>
      <c r="AC14" s="1505">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3"/>
      <c r="Q15" s="1134">
        <f t="shared" si="6"/>
        <v>111</v>
      </c>
      <c r="R15" s="1502" t="s">
        <v>8</v>
      </c>
      <c r="S15" s="1503">
        <f t="shared" si="0"/>
        <v>100</v>
      </c>
      <c r="T15" s="1502" t="s">
        <v>8</v>
      </c>
      <c r="U15" s="1503">
        <f t="shared" si="1"/>
        <v>100</v>
      </c>
      <c r="V15" s="1502" t="s">
        <v>8</v>
      </c>
      <c r="W15" s="1503">
        <f t="shared" si="2"/>
        <v>100</v>
      </c>
      <c r="X15" s="1504"/>
      <c r="Y15" s="3434"/>
      <c r="Z15" s="1133">
        <f t="shared" si="7"/>
        <v>111</v>
      </c>
      <c r="AA15" s="1505">
        <f>D15/F15</f>
        <v>1</v>
      </c>
      <c r="AB15" s="1505">
        <f>D15/H15</f>
        <v>1</v>
      </c>
      <c r="AC15" s="1505">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3"/>
      <c r="Q16" s="1134">
        <f t="shared" si="6"/>
        <v>111</v>
      </c>
      <c r="R16" s="1502" t="s">
        <v>8</v>
      </c>
      <c r="S16" s="1503">
        <f t="shared" si="0"/>
        <v>100</v>
      </c>
      <c r="T16" s="1502" t="s">
        <v>8</v>
      </c>
      <c r="U16" s="1503">
        <f t="shared" si="1"/>
        <v>100</v>
      </c>
      <c r="V16" s="1502" t="s">
        <v>8</v>
      </c>
      <c r="W16" s="1503">
        <f t="shared" si="2"/>
        <v>100</v>
      </c>
      <c r="X16" s="1504"/>
      <c r="Y16" s="3434"/>
      <c r="Z16" s="1133">
        <f t="shared" si="7"/>
        <v>111</v>
      </c>
      <c r="AA16" s="1505">
        <f>D16/F16</f>
        <v>1</v>
      </c>
      <c r="AB16" s="1505">
        <f>D16/H16</f>
        <v>1</v>
      </c>
      <c r="AC16" s="1505">
        <f>D16/J16</f>
        <v>1</v>
      </c>
    </row>
    <row r="17" spans="1:29" ht="20.25" hidden="1">
      <c r="A17" s="2627" t="s">
        <v>2733</v>
      </c>
      <c r="B17" s="572" t="s">
        <v>294</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85" t="s">
        <v>533</v>
      </c>
      <c r="Q17" s="1506" t="str">
        <f t="shared" si="6"/>
        <v>居住社区成熟度</v>
      </c>
      <c r="R17" s="1507" t="s">
        <v>8</v>
      </c>
      <c r="S17" s="1508">
        <f t="shared" si="0"/>
        <v>100</v>
      </c>
      <c r="T17" s="1507" t="s">
        <v>8</v>
      </c>
      <c r="U17" s="1508">
        <f t="shared" si="1"/>
        <v>100</v>
      </c>
      <c r="V17" s="1507" t="s">
        <v>8</v>
      </c>
      <c r="W17" s="1508">
        <f t="shared" si="2"/>
        <v>100</v>
      </c>
      <c r="X17" s="1501"/>
      <c r="Y17" s="3485" t="s">
        <v>533</v>
      </c>
      <c r="Z17" s="1509" t="str">
        <f t="shared" si="7"/>
        <v>居住社区成熟度</v>
      </c>
      <c r="AA17" s="1510">
        <f t="shared" si="3"/>
        <v>1</v>
      </c>
      <c r="AB17" s="1510">
        <f t="shared" si="4"/>
        <v>1</v>
      </c>
      <c r="AC17" s="1510">
        <f t="shared" si="5"/>
        <v>1</v>
      </c>
    </row>
    <row r="18" spans="1:29" ht="20.25" hidden="1">
      <c r="A18" s="526"/>
      <c r="B18" s="547"/>
      <c r="C18" s="548"/>
      <c r="D18" s="551"/>
      <c r="E18" s="552"/>
      <c r="F18" s="549"/>
      <c r="G18" s="550"/>
      <c r="H18" s="553"/>
      <c r="I18" s="552"/>
      <c r="J18" s="549"/>
      <c r="K18" s="525"/>
      <c r="L18" s="2024"/>
      <c r="M18" s="2014"/>
      <c r="N18" s="2014"/>
      <c r="O18" s="2023"/>
      <c r="P18" s="3486"/>
      <c r="Q18" s="1506"/>
      <c r="R18" s="1507"/>
      <c r="S18" s="1508"/>
      <c r="T18" s="1507"/>
      <c r="U18" s="1508"/>
      <c r="V18" s="1507"/>
      <c r="W18" s="1508"/>
      <c r="X18" s="1501"/>
      <c r="Y18" s="3486"/>
      <c r="Z18" s="1509"/>
      <c r="AA18" s="1510">
        <v>1</v>
      </c>
      <c r="AB18" s="1510">
        <v>1</v>
      </c>
      <c r="AC18" s="1510">
        <v>1</v>
      </c>
    </row>
    <row r="19" spans="1:29" ht="20.25">
      <c r="A19" s="526"/>
      <c r="B19" s="554" t="s">
        <v>534</v>
      </c>
      <c r="C19" s="555" t="str">
        <f>估价对象房地状况!C16</f>
        <v>一般</v>
      </c>
      <c r="D19" s="557">
        <v>100</v>
      </c>
      <c r="E19" s="558" t="s">
        <v>3270</v>
      </c>
      <c r="F19" s="553">
        <f>SUMIF(92:92,E20,93:93)-SUMIF(92:92,C20,93:93)+100</f>
        <v>100</v>
      </c>
      <c r="G19" s="558" t="s">
        <v>3270</v>
      </c>
      <c r="H19" s="559">
        <f>SUMIF(92:92,G20,93:93)-SUMIF(92:92,C20,93:93)+100</f>
        <v>100</v>
      </c>
      <c r="I19" s="558" t="s">
        <v>3270</v>
      </c>
      <c r="J19" s="559">
        <f>SUMIF(92:92,I20,93:93)-SUMIF(92:92,C20,93:93)+100</f>
        <v>100</v>
      </c>
      <c r="K19" s="529"/>
      <c r="L19" s="2024"/>
      <c r="M19" s="2014"/>
      <c r="N19" s="2014"/>
      <c r="O19" s="2023"/>
      <c r="P19" s="3486"/>
      <c r="Q19" s="1506" t="str">
        <f>B19</f>
        <v>商业繁华度</v>
      </c>
      <c r="R19" s="1507" t="s">
        <v>8</v>
      </c>
      <c r="S19" s="1508">
        <f>F19</f>
        <v>100</v>
      </c>
      <c r="T19" s="1507" t="s">
        <v>8</v>
      </c>
      <c r="U19" s="1508">
        <f>H19</f>
        <v>100</v>
      </c>
      <c r="V19" s="1507" t="s">
        <v>8</v>
      </c>
      <c r="W19" s="1508">
        <f>J19</f>
        <v>100</v>
      </c>
      <c r="X19" s="1501"/>
      <c r="Y19" s="3486"/>
      <c r="Z19" s="1509" t="str">
        <f>Q19</f>
        <v>商业繁华度</v>
      </c>
      <c r="AA19" s="1510">
        <f t="shared" si="3"/>
        <v>1</v>
      </c>
      <c r="AB19" s="1510">
        <f t="shared" si="4"/>
        <v>1</v>
      </c>
      <c r="AC19" s="1510">
        <f t="shared" si="5"/>
        <v>1</v>
      </c>
    </row>
    <row r="20" spans="1:29" ht="20.25">
      <c r="A20" s="526"/>
      <c r="B20" s="560"/>
      <c r="C20" s="561" t="s">
        <v>3270</v>
      </c>
      <c r="D20" s="557"/>
      <c r="E20" s="563" t="s">
        <v>3270</v>
      </c>
      <c r="F20" s="553"/>
      <c r="G20" s="563" t="s">
        <v>3270</v>
      </c>
      <c r="H20" s="549"/>
      <c r="I20" s="563" t="s">
        <v>3270</v>
      </c>
      <c r="J20" s="549"/>
      <c r="K20" s="525"/>
      <c r="L20" s="2024"/>
      <c r="M20" s="2014"/>
      <c r="N20" s="2014"/>
      <c r="O20" s="2023"/>
      <c r="P20" s="3486"/>
      <c r="Q20" s="1506"/>
      <c r="R20" s="1507"/>
      <c r="S20" s="1508"/>
      <c r="T20" s="1507"/>
      <c r="U20" s="1508"/>
      <c r="V20" s="1507"/>
      <c r="W20" s="1508"/>
      <c r="X20" s="1501"/>
      <c r="Y20" s="3486"/>
      <c r="Z20" s="1509"/>
      <c r="AA20" s="1510">
        <v>1</v>
      </c>
      <c r="AB20" s="1510">
        <v>1</v>
      </c>
      <c r="AC20" s="1510">
        <v>1</v>
      </c>
    </row>
    <row r="21" spans="1:29" ht="20.25">
      <c r="A21" s="526"/>
      <c r="B21" s="554" t="s">
        <v>535</v>
      </c>
      <c r="C21" s="555" t="str">
        <f>估价对象房地状况!C17</f>
        <v>较好</v>
      </c>
      <c r="D21" s="565">
        <v>100</v>
      </c>
      <c r="E21" s="566" t="s">
        <v>3272</v>
      </c>
      <c r="F21" s="559">
        <f>SUMIF(94:94,E22,95:95)-SUMIF(94:94,C22,95:95)+100</f>
        <v>100</v>
      </c>
      <c r="G21" s="566" t="s">
        <v>3272</v>
      </c>
      <c r="H21" s="553">
        <f>SUMIF(94:94,G22,95:95)-SUMIF(94:94,C22,95:95)+100</f>
        <v>100</v>
      </c>
      <c r="I21" s="566" t="s">
        <v>3272</v>
      </c>
      <c r="J21" s="553">
        <f>SUMIF(94:94,I22,95:95)-SUMIF(94:94,C22,95:95)+100</f>
        <v>100</v>
      </c>
      <c r="K21" s="529"/>
      <c r="L21" s="2024"/>
      <c r="M21" s="2014"/>
      <c r="N21" s="2014"/>
      <c r="O21" s="2023"/>
      <c r="P21" s="3486"/>
      <c r="Q21" s="1506" t="str">
        <f>B21</f>
        <v>办公集聚程度</v>
      </c>
      <c r="R21" s="1507" t="s">
        <v>8</v>
      </c>
      <c r="S21" s="1508">
        <f>F21</f>
        <v>100</v>
      </c>
      <c r="T21" s="1507" t="s">
        <v>8</v>
      </c>
      <c r="U21" s="1508">
        <f>H21</f>
        <v>100</v>
      </c>
      <c r="V21" s="1507" t="s">
        <v>8</v>
      </c>
      <c r="W21" s="1508">
        <f>J21</f>
        <v>100</v>
      </c>
      <c r="X21" s="1501"/>
      <c r="Y21" s="3486"/>
      <c r="Z21" s="1509" t="str">
        <f>Q21</f>
        <v>办公集聚程度</v>
      </c>
      <c r="AA21" s="1510">
        <f t="shared" si="3"/>
        <v>1</v>
      </c>
      <c r="AB21" s="1510">
        <f t="shared" si="4"/>
        <v>1</v>
      </c>
      <c r="AC21" s="1510">
        <f t="shared" si="5"/>
        <v>1</v>
      </c>
    </row>
    <row r="22" spans="1:29" ht="20.25">
      <c r="A22" s="526"/>
      <c r="B22" s="560"/>
      <c r="C22" s="548" t="s">
        <v>3272</v>
      </c>
      <c r="D22" s="551"/>
      <c r="E22" s="552" t="s">
        <v>3272</v>
      </c>
      <c r="F22" s="549"/>
      <c r="G22" s="552" t="s">
        <v>3272</v>
      </c>
      <c r="H22" s="549"/>
      <c r="I22" s="552" t="s">
        <v>3272</v>
      </c>
      <c r="J22" s="549"/>
      <c r="K22" s="525"/>
      <c r="L22" s="2024"/>
      <c r="M22" s="2014"/>
      <c r="N22" s="2014"/>
      <c r="O22" s="2023"/>
      <c r="P22" s="3486"/>
      <c r="Q22" s="1506"/>
      <c r="R22" s="1507"/>
      <c r="S22" s="1508"/>
      <c r="T22" s="1507"/>
      <c r="U22" s="1508"/>
      <c r="V22" s="1507"/>
      <c r="W22" s="1508"/>
      <c r="X22" s="1501"/>
      <c r="Y22" s="3486"/>
      <c r="Z22" s="1509"/>
      <c r="AA22" s="1510">
        <v>1</v>
      </c>
      <c r="AB22" s="1510">
        <v>1</v>
      </c>
      <c r="AC22" s="1510">
        <v>1</v>
      </c>
    </row>
    <row r="23" spans="1:29" ht="20.25">
      <c r="A23" s="526"/>
      <c r="B23" s="554" t="s">
        <v>536</v>
      </c>
      <c r="C23" s="567" t="str">
        <f>估价对象房地状况!C18</f>
        <v>较好</v>
      </c>
      <c r="D23" s="557">
        <v>100</v>
      </c>
      <c r="E23" s="558" t="s">
        <v>3272</v>
      </c>
      <c r="F23" s="559">
        <f>SUMIF(96:96,E24,97:97)-SUMIF(96:96,C24,97:97)+100</f>
        <v>100</v>
      </c>
      <c r="G23" s="558" t="s">
        <v>3272</v>
      </c>
      <c r="H23" s="553">
        <f>SUMIF(96:96,G24,97:97)-SUMIF(96:96,C24,97:97)+100</f>
        <v>100</v>
      </c>
      <c r="I23" s="558" t="s">
        <v>3272</v>
      </c>
      <c r="J23" s="553">
        <f>SUMIF(96:96,I24,97:97)-SUMIF(96:96,C24,97:97)+100</f>
        <v>100</v>
      </c>
      <c r="K23" s="529"/>
      <c r="L23" s="2024"/>
      <c r="M23" s="2014"/>
      <c r="N23" s="2014"/>
      <c r="O23" s="2023"/>
      <c r="P23" s="3486"/>
      <c r="Q23" s="1506" t="str">
        <f>B23</f>
        <v>交通便捷度</v>
      </c>
      <c r="R23" s="1507" t="s">
        <v>8</v>
      </c>
      <c r="S23" s="1508">
        <f>F23</f>
        <v>100</v>
      </c>
      <c r="T23" s="1507" t="s">
        <v>8</v>
      </c>
      <c r="U23" s="1508">
        <f>H23</f>
        <v>100</v>
      </c>
      <c r="V23" s="1507" t="s">
        <v>8</v>
      </c>
      <c r="W23" s="1508">
        <f>J23</f>
        <v>100</v>
      </c>
      <c r="X23" s="1501"/>
      <c r="Y23" s="3486"/>
      <c r="Z23" s="1509" t="str">
        <f>Q23</f>
        <v>交通便捷度</v>
      </c>
      <c r="AA23" s="1510">
        <f t="shared" si="3"/>
        <v>1</v>
      </c>
      <c r="AB23" s="1510">
        <f t="shared" si="4"/>
        <v>1</v>
      </c>
      <c r="AC23" s="1510">
        <f t="shared" si="5"/>
        <v>1</v>
      </c>
    </row>
    <row r="24" spans="1:29" ht="20.25">
      <c r="A24" s="526"/>
      <c r="B24" s="572"/>
      <c r="C24" s="548" t="s">
        <v>3272</v>
      </c>
      <c r="D24" s="551"/>
      <c r="E24" s="552" t="s">
        <v>3272</v>
      </c>
      <c r="F24" s="549"/>
      <c r="G24" s="552" t="s">
        <v>3272</v>
      </c>
      <c r="H24" s="549"/>
      <c r="I24" s="552" t="s">
        <v>3272</v>
      </c>
      <c r="J24" s="549"/>
      <c r="K24" s="525"/>
      <c r="L24" s="2024"/>
      <c r="M24" s="2014"/>
      <c r="N24" s="2014"/>
      <c r="O24" s="2023"/>
      <c r="P24" s="3486"/>
      <c r="Q24" s="1506"/>
      <c r="R24" s="1507"/>
      <c r="S24" s="1508"/>
      <c r="T24" s="1507"/>
      <c r="U24" s="1508"/>
      <c r="V24" s="1507"/>
      <c r="W24" s="1508"/>
      <c r="X24" s="1501"/>
      <c r="Y24" s="3486"/>
      <c r="Z24" s="1509"/>
      <c r="AA24" s="1510">
        <v>1</v>
      </c>
      <c r="AB24" s="1510">
        <v>1</v>
      </c>
      <c r="AC24" s="1510">
        <v>1</v>
      </c>
    </row>
    <row r="25" spans="1:29" ht="27">
      <c r="A25" s="509"/>
      <c r="B25" s="257" t="s">
        <v>537</v>
      </c>
      <c r="C25" s="567">
        <f>估价对象房地状况!C19</f>
        <v>0</v>
      </c>
      <c r="D25" s="557">
        <v>100</v>
      </c>
      <c r="E25" s="558">
        <v>0</v>
      </c>
      <c r="F25" s="559">
        <f>SUMIF(98:98,E26,99:99)-SUMIF(98:98,C26,99:99)+100</f>
        <v>100</v>
      </c>
      <c r="G25" s="558">
        <v>0</v>
      </c>
      <c r="H25" s="553">
        <f>SUMIF(98:98,G26,99:99)-SUMIF(98:98,C26,99:99)+100</f>
        <v>100</v>
      </c>
      <c r="I25" s="558">
        <v>0</v>
      </c>
      <c r="J25" s="553">
        <f>SUMIF(98:98,I26,99:99)-SUMIF(98:98,C26,99:99)+100</f>
        <v>100</v>
      </c>
      <c r="K25" s="529"/>
      <c r="L25" s="2024"/>
      <c r="M25" s="2014"/>
      <c r="N25" s="2014"/>
      <c r="O25" s="2023"/>
      <c r="P25" s="3486"/>
      <c r="Q25" s="1506" t="str">
        <f t="shared" ref="Q25:Q39" si="8">B25</f>
        <v>区域土地利用方向</v>
      </c>
      <c r="R25" s="1507" t="s">
        <v>8</v>
      </c>
      <c r="S25" s="1508">
        <f>F25</f>
        <v>100</v>
      </c>
      <c r="T25" s="1507" t="s">
        <v>8</v>
      </c>
      <c r="U25" s="1508">
        <f>H25</f>
        <v>100</v>
      </c>
      <c r="V25" s="1507" t="s">
        <v>8</v>
      </c>
      <c r="W25" s="1508">
        <f>J25</f>
        <v>100</v>
      </c>
      <c r="X25" s="1501"/>
      <c r="Y25" s="3486"/>
      <c r="Z25" s="1509" t="str">
        <f>Q25</f>
        <v>区域土地利用方向</v>
      </c>
      <c r="AA25" s="1510">
        <f t="shared" si="3"/>
        <v>1</v>
      </c>
      <c r="AB25" s="1510">
        <f t="shared" si="4"/>
        <v>1</v>
      </c>
      <c r="AC25" s="1510">
        <f t="shared" si="5"/>
        <v>1</v>
      </c>
    </row>
    <row r="26" spans="1:29" ht="20.25">
      <c r="A26" s="509"/>
      <c r="B26" s="994"/>
      <c r="C26" s="548" t="s">
        <v>3272</v>
      </c>
      <c r="D26" s="551"/>
      <c r="E26" s="552" t="s">
        <v>3272</v>
      </c>
      <c r="F26" s="549"/>
      <c r="G26" s="552" t="s">
        <v>3272</v>
      </c>
      <c r="H26" s="549"/>
      <c r="I26" s="552" t="s">
        <v>3272</v>
      </c>
      <c r="J26" s="549"/>
      <c r="K26" s="525"/>
      <c r="L26" s="2024"/>
      <c r="M26" s="2014"/>
      <c r="N26" s="2014"/>
      <c r="O26" s="2023"/>
      <c r="P26" s="3486"/>
      <c r="Q26" s="1506"/>
      <c r="R26" s="1507"/>
      <c r="S26" s="1508"/>
      <c r="T26" s="1507"/>
      <c r="U26" s="1508"/>
      <c r="V26" s="1507"/>
      <c r="W26" s="1508"/>
      <c r="X26" s="1501"/>
      <c r="Y26" s="3486"/>
      <c r="Z26" s="1509"/>
      <c r="AA26" s="1510"/>
      <c r="AB26" s="1510"/>
      <c r="AC26" s="1510"/>
    </row>
    <row r="27" spans="1:29" ht="27">
      <c r="A27" s="509"/>
      <c r="B27" s="572" t="s">
        <v>538</v>
      </c>
      <c r="C27" s="555" t="str">
        <f>估价对象房地状况!C20</f>
        <v>较好</v>
      </c>
      <c r="D27" s="557">
        <v>100</v>
      </c>
      <c r="E27" s="558" t="s">
        <v>3272</v>
      </c>
      <c r="F27" s="553">
        <f>SUMIF(100:100,E28,101:101)-SUMIF(100:100,C28,101:101)+100</f>
        <v>100</v>
      </c>
      <c r="G27" s="558" t="s">
        <v>3272</v>
      </c>
      <c r="H27" s="553">
        <f>SUMIF(100:100,G28,101:101)-SUMIF(100:100,C28,101:101)+100</f>
        <v>100</v>
      </c>
      <c r="I27" s="558" t="s">
        <v>3272</v>
      </c>
      <c r="J27" s="553">
        <f>SUMIF(100:100,I28,101:101)-SUMIF(100:100,C28,101:101)+100</f>
        <v>100</v>
      </c>
      <c r="K27" s="529"/>
      <c r="L27" s="2024"/>
      <c r="M27" s="2014"/>
      <c r="N27" s="2014"/>
      <c r="O27" s="2023"/>
      <c r="P27" s="3486"/>
      <c r="Q27" s="1506" t="str">
        <f t="shared" si="8"/>
        <v>自然及人文环境状况</v>
      </c>
      <c r="R27" s="1507" t="s">
        <v>8</v>
      </c>
      <c r="S27" s="1508">
        <f>F27</f>
        <v>100</v>
      </c>
      <c r="T27" s="1507" t="s">
        <v>8</v>
      </c>
      <c r="U27" s="1508">
        <f>H27</f>
        <v>100</v>
      </c>
      <c r="V27" s="1507" t="s">
        <v>8</v>
      </c>
      <c r="W27" s="1508">
        <f>J27</f>
        <v>100</v>
      </c>
      <c r="X27" s="1501"/>
      <c r="Y27" s="3486"/>
      <c r="Z27" s="1509" t="str">
        <f>Q27</f>
        <v>自然及人文环境状况</v>
      </c>
      <c r="AA27" s="1510">
        <f t="shared" si="3"/>
        <v>1</v>
      </c>
      <c r="AB27" s="1510">
        <f t="shared" si="4"/>
        <v>1</v>
      </c>
      <c r="AC27" s="1510">
        <f t="shared" si="5"/>
        <v>1</v>
      </c>
    </row>
    <row r="28" spans="1:29" ht="20.25">
      <c r="A28" s="509"/>
      <c r="B28" s="560"/>
      <c r="C28" s="548" t="s">
        <v>3272</v>
      </c>
      <c r="D28" s="551"/>
      <c r="E28" s="570" t="s">
        <v>3272</v>
      </c>
      <c r="F28" s="549"/>
      <c r="G28" s="570" t="s">
        <v>3272</v>
      </c>
      <c r="H28" s="549"/>
      <c r="I28" s="570" t="s">
        <v>3272</v>
      </c>
      <c r="J28" s="549"/>
      <c r="K28" s="525"/>
      <c r="L28" s="2024"/>
      <c r="M28" s="2014"/>
      <c r="N28" s="2014"/>
      <c r="O28" s="2023"/>
      <c r="P28" s="3486"/>
      <c r="Q28" s="1506"/>
      <c r="R28" s="1507"/>
      <c r="S28" s="1508"/>
      <c r="T28" s="1507"/>
      <c r="U28" s="1508"/>
      <c r="V28" s="1507"/>
      <c r="W28" s="1508"/>
      <c r="X28" s="1501"/>
      <c r="Y28" s="3486"/>
      <c r="Z28" s="1509"/>
      <c r="AA28" s="1510">
        <v>1</v>
      </c>
      <c r="AB28" s="1510">
        <v>1</v>
      </c>
      <c r="AC28" s="1510">
        <v>1</v>
      </c>
    </row>
    <row r="29" spans="1:29" s="1203" customFormat="1" ht="20.25">
      <c r="A29" s="571"/>
      <c r="B29" s="2435" t="s">
        <v>2528</v>
      </c>
      <c r="C29" s="567" t="str">
        <f>估价对象房地状况!C21</f>
        <v>较好</v>
      </c>
      <c r="D29" s="557">
        <v>100</v>
      </c>
      <c r="E29" s="558" t="s">
        <v>3272</v>
      </c>
      <c r="F29" s="553">
        <f>SUMIF(102:102,E30,103:103)-SUMIF(102:102,C30,103:103)+100</f>
        <v>100</v>
      </c>
      <c r="G29" s="558" t="s">
        <v>3272</v>
      </c>
      <c r="H29" s="553">
        <f>SUMIF(102:102,G30,103:103)-SUMIF(102:102,C30,103:103)+100</f>
        <v>100</v>
      </c>
      <c r="I29" s="558" t="s">
        <v>3272</v>
      </c>
      <c r="J29" s="553">
        <f>SUMIF(102:102,I30,103:103)-SUMIF(102:102,C30,103:103)+100</f>
        <v>100</v>
      </c>
      <c r="K29" s="529"/>
      <c r="L29" s="2017"/>
      <c r="M29" s="2014"/>
      <c r="N29" s="2014"/>
      <c r="O29" s="2019"/>
      <c r="P29" s="3486"/>
      <c r="Q29" s="1134" t="str">
        <f t="shared" si="8"/>
        <v>公共配套设施</v>
      </c>
      <c r="R29" s="1502" t="s">
        <v>8</v>
      </c>
      <c r="S29" s="1503">
        <f>F29</f>
        <v>100</v>
      </c>
      <c r="T29" s="1502" t="s">
        <v>8</v>
      </c>
      <c r="U29" s="1503">
        <f>H29</f>
        <v>100</v>
      </c>
      <c r="V29" s="1502" t="s">
        <v>8</v>
      </c>
      <c r="W29" s="1503">
        <f>J29</f>
        <v>100</v>
      </c>
      <c r="X29" s="1504"/>
      <c r="Y29" s="3486"/>
      <c r="Z29" s="1133" t="str">
        <f>Q29</f>
        <v>公共配套设施</v>
      </c>
      <c r="AA29" s="1510">
        <f>D29/F29</f>
        <v>1</v>
      </c>
      <c r="AB29" s="1510">
        <f>D29/H29</f>
        <v>1</v>
      </c>
      <c r="AC29" s="1510">
        <f>D29/J29</f>
        <v>1</v>
      </c>
    </row>
    <row r="30" spans="1:29" s="1203" customFormat="1" ht="20.25">
      <c r="A30" s="571"/>
      <c r="B30" s="560"/>
      <c r="C30" s="573" t="s">
        <v>3272</v>
      </c>
      <c r="D30" s="551"/>
      <c r="E30" s="570" t="s">
        <v>3272</v>
      </c>
      <c r="F30" s="549"/>
      <c r="G30" s="570" t="s">
        <v>3272</v>
      </c>
      <c r="H30" s="549"/>
      <c r="I30" s="570" t="s">
        <v>3272</v>
      </c>
      <c r="J30" s="549"/>
      <c r="K30" s="525"/>
      <c r="L30" s="2017"/>
      <c r="M30" s="2014"/>
      <c r="N30" s="2014"/>
      <c r="O30" s="2019"/>
      <c r="P30" s="3486"/>
      <c r="Q30" s="1134"/>
      <c r="R30" s="1502"/>
      <c r="S30" s="1503"/>
      <c r="T30" s="1502"/>
      <c r="U30" s="1503"/>
      <c r="V30" s="1502"/>
      <c r="W30" s="1503"/>
      <c r="X30" s="1504"/>
      <c r="Y30" s="3486"/>
      <c r="Z30" s="1133"/>
      <c r="AA30" s="1510">
        <v>1</v>
      </c>
      <c r="AB30" s="1510">
        <v>1</v>
      </c>
      <c r="AC30" s="1510">
        <v>1</v>
      </c>
    </row>
    <row r="31" spans="1:29" s="1203" customFormat="1" ht="20.25">
      <c r="A31" s="571"/>
      <c r="B31" s="2435" t="s">
        <v>2529</v>
      </c>
      <c r="C31" s="567" t="str">
        <f>估价对象房地状况!C22</f>
        <v>七通</v>
      </c>
      <c r="D31" s="557">
        <v>100</v>
      </c>
      <c r="E31" s="558" t="s">
        <v>3274</v>
      </c>
      <c r="F31" s="553">
        <f>SUMIF(104:104,E32,105:105)-SUMIF(104:104,C32,105:105)+100</f>
        <v>100</v>
      </c>
      <c r="G31" s="558" t="s">
        <v>3274</v>
      </c>
      <c r="H31" s="553">
        <f>SUMIF(104:104,G32,105:105)-SUMIF(104:104,C32,105:105)+100</f>
        <v>100</v>
      </c>
      <c r="I31" s="558" t="s">
        <v>3274</v>
      </c>
      <c r="J31" s="553">
        <f>SUMIF(104:104,I32,105:105)-SUMIF(104:104,C32,105:105)+100</f>
        <v>100</v>
      </c>
      <c r="K31" s="529"/>
      <c r="L31" s="2017"/>
      <c r="M31" s="2014"/>
      <c r="N31" s="2014"/>
      <c r="O31" s="2019"/>
      <c r="P31" s="3486"/>
      <c r="Q31" s="2428" t="str">
        <f t="shared" ref="Q31" si="9">B31</f>
        <v>基础设施水平</v>
      </c>
      <c r="R31" s="1502" t="s">
        <v>8</v>
      </c>
      <c r="S31" s="1503">
        <f>F31</f>
        <v>100</v>
      </c>
      <c r="T31" s="1502" t="s">
        <v>8</v>
      </c>
      <c r="U31" s="1503">
        <f>H31</f>
        <v>100</v>
      </c>
      <c r="V31" s="1502" t="s">
        <v>8</v>
      </c>
      <c r="W31" s="1503">
        <f>J31</f>
        <v>100</v>
      </c>
      <c r="X31" s="1504"/>
      <c r="Y31" s="3486"/>
      <c r="Z31" s="2427" t="str">
        <f>Q31</f>
        <v>基础设施水平</v>
      </c>
      <c r="AA31" s="1510">
        <f>D31/F31</f>
        <v>1</v>
      </c>
      <c r="AB31" s="1510">
        <f>D31/H31</f>
        <v>1</v>
      </c>
      <c r="AC31" s="1510">
        <f>D31/J31</f>
        <v>1</v>
      </c>
    </row>
    <row r="32" spans="1:29" s="1203" customFormat="1" ht="21" thickBot="1">
      <c r="A32" s="571"/>
      <c r="B32" s="560"/>
      <c r="C32" s="573" t="s">
        <v>3274</v>
      </c>
      <c r="D32" s="551"/>
      <c r="E32" s="2436" t="s">
        <v>3274</v>
      </c>
      <c r="F32" s="549"/>
      <c r="G32" s="2436" t="s">
        <v>3274</v>
      </c>
      <c r="H32" s="549"/>
      <c r="I32" s="2436" t="s">
        <v>3274</v>
      </c>
      <c r="J32" s="549"/>
      <c r="K32" s="525"/>
      <c r="L32" s="2017"/>
      <c r="M32" s="2014"/>
      <c r="N32" s="2014"/>
      <c r="O32" s="2019"/>
      <c r="P32" s="3486"/>
      <c r="Q32" s="2428"/>
      <c r="R32" s="1502"/>
      <c r="S32" s="1503"/>
      <c r="T32" s="1502"/>
      <c r="U32" s="1503"/>
      <c r="V32" s="1502"/>
      <c r="W32" s="1503"/>
      <c r="X32" s="1504"/>
      <c r="Y32" s="3486"/>
      <c r="Z32" s="2427"/>
      <c r="AA32" s="1510">
        <v>1</v>
      </c>
      <c r="AB32" s="1510">
        <v>1</v>
      </c>
      <c r="AC32" s="1510">
        <v>1</v>
      </c>
    </row>
    <row r="33" spans="1:29" ht="20.25" hidden="1">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8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86"/>
      <c r="Z33" s="1509" t="str">
        <f t="shared" ref="Z33:Z47" si="13">Q33</f>
        <v>临街状况</v>
      </c>
      <c r="AA33" s="1510">
        <f t="shared" si="3"/>
        <v>1</v>
      </c>
      <c r="AB33" s="1510">
        <f t="shared" si="4"/>
        <v>1</v>
      </c>
      <c r="AC33" s="1510">
        <f t="shared" si="5"/>
        <v>1</v>
      </c>
    </row>
    <row r="34" spans="1:29" ht="27" hidden="1">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86"/>
      <c r="Q34" s="1506" t="str">
        <f t="shared" si="8"/>
        <v>毗邻道路的类型与等级</v>
      </c>
      <c r="R34" s="1507" t="s">
        <v>8</v>
      </c>
      <c r="S34" s="1508">
        <f t="shared" si="10"/>
        <v>100</v>
      </c>
      <c r="T34" s="1507" t="s">
        <v>8</v>
      </c>
      <c r="U34" s="1508">
        <f t="shared" si="11"/>
        <v>100</v>
      </c>
      <c r="V34" s="1507" t="s">
        <v>8</v>
      </c>
      <c r="W34" s="1508">
        <f t="shared" si="12"/>
        <v>100</v>
      </c>
      <c r="X34" s="1501"/>
      <c r="Y34" s="3486"/>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486"/>
      <c r="Q35" s="1506"/>
      <c r="R35" s="1507"/>
      <c r="S35" s="1508"/>
      <c r="T35" s="1507"/>
      <c r="U35" s="1508"/>
      <c r="V35" s="1507"/>
      <c r="W35" s="1508"/>
      <c r="X35" s="1501"/>
      <c r="Y35" s="3486"/>
      <c r="Z35" s="1509"/>
      <c r="AA35" s="1510">
        <v>1</v>
      </c>
      <c r="AB35" s="1510">
        <v>1</v>
      </c>
      <c r="AC35" s="1510">
        <v>1</v>
      </c>
    </row>
    <row r="36" spans="1:29" ht="21" hidden="1" thickBot="1">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86"/>
      <c r="Q36" s="1506" t="str">
        <f t="shared" si="8"/>
        <v>土地级别</v>
      </c>
      <c r="R36" s="1507" t="s">
        <v>8</v>
      </c>
      <c r="S36" s="1508">
        <f t="shared" si="10"/>
        <v>100</v>
      </c>
      <c r="T36" s="1507" t="s">
        <v>8</v>
      </c>
      <c r="U36" s="1508">
        <f t="shared" si="11"/>
        <v>100</v>
      </c>
      <c r="V36" s="1507" t="s">
        <v>8</v>
      </c>
      <c r="W36" s="1508">
        <f t="shared" si="12"/>
        <v>100</v>
      </c>
      <c r="X36" s="1501"/>
      <c r="Y36" s="3486"/>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86"/>
      <c r="Q37" s="1506">
        <f t="shared" si="8"/>
        <v>111</v>
      </c>
      <c r="R37" s="1507" t="s">
        <v>8</v>
      </c>
      <c r="S37" s="1508">
        <f t="shared" si="10"/>
        <v>100</v>
      </c>
      <c r="T37" s="1507" t="s">
        <v>8</v>
      </c>
      <c r="U37" s="1508">
        <f t="shared" si="11"/>
        <v>100</v>
      </c>
      <c r="V37" s="1507" t="s">
        <v>8</v>
      </c>
      <c r="W37" s="1508">
        <f t="shared" si="12"/>
        <v>100</v>
      </c>
      <c r="X37" s="1501"/>
      <c r="Y37" s="3486"/>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87" t="s">
        <v>543</v>
      </c>
      <c r="Q38" s="1506">
        <f t="shared" si="8"/>
        <v>111</v>
      </c>
      <c r="R38" s="1507" t="s">
        <v>8</v>
      </c>
      <c r="S38" s="1508">
        <f t="shared" si="10"/>
        <v>100</v>
      </c>
      <c r="T38" s="1507" t="s">
        <v>8</v>
      </c>
      <c r="U38" s="1508">
        <f t="shared" si="11"/>
        <v>100</v>
      </c>
      <c r="V38" s="1507" t="s">
        <v>8</v>
      </c>
      <c r="W38" s="1508">
        <f t="shared" si="12"/>
        <v>100</v>
      </c>
      <c r="X38" s="1501"/>
      <c r="Y38" s="3488" t="s">
        <v>543</v>
      </c>
      <c r="Z38" s="1509">
        <f t="shared" si="13"/>
        <v>111</v>
      </c>
      <c r="AA38" s="1510">
        <f t="shared" si="3"/>
        <v>1</v>
      </c>
      <c r="AB38" s="1510">
        <f t="shared" si="4"/>
        <v>1</v>
      </c>
      <c r="AC38" s="1510">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88"/>
      <c r="Q39" s="1506">
        <f t="shared" si="8"/>
        <v>111</v>
      </c>
      <c r="R39" s="1511" t="s">
        <v>8</v>
      </c>
      <c r="S39" s="1512">
        <f t="shared" si="10"/>
        <v>100</v>
      </c>
      <c r="T39" s="1511" t="s">
        <v>8</v>
      </c>
      <c r="U39" s="1512">
        <f t="shared" si="11"/>
        <v>100</v>
      </c>
      <c r="V39" s="1511" t="s">
        <v>8</v>
      </c>
      <c r="W39" s="1512">
        <f t="shared" si="12"/>
        <v>100</v>
      </c>
      <c r="X39" s="1513"/>
      <c r="Y39" s="3488"/>
      <c r="Z39" s="1514">
        <f t="shared" si="13"/>
        <v>111</v>
      </c>
      <c r="AA39" s="1510">
        <f t="shared" si="3"/>
        <v>1</v>
      </c>
      <c r="AB39" s="1510">
        <f t="shared" si="4"/>
        <v>1</v>
      </c>
      <c r="AC39" s="1510">
        <f t="shared" si="5"/>
        <v>1</v>
      </c>
    </row>
    <row r="40" spans="1:29" ht="20.25">
      <c r="A40" s="2624" t="s">
        <v>2734</v>
      </c>
      <c r="B40" s="589" t="s">
        <v>545</v>
      </c>
      <c r="C40" s="590">
        <f>'数据-汇总表'!D3</f>
        <v>17997.97</v>
      </c>
      <c r="D40" s="591">
        <v>100</v>
      </c>
      <c r="E40" s="590">
        <f>土地案例!D22</f>
        <v>51736.9</v>
      </c>
      <c r="F40" s="591">
        <f>LOOKUP(E40,119:119,120:120)-LOOKUP(C40,119:119,120:120)+100</f>
        <v>102</v>
      </c>
      <c r="G40" s="590">
        <f>土地案例!D43</f>
        <v>265269.8</v>
      </c>
      <c r="H40" s="591">
        <f>LOOKUP(G40,119:119,120:120)-LOOKUP(C40,119:119,120:120)+100</f>
        <v>103</v>
      </c>
      <c r="I40" s="592">
        <f>土地案例!D44</f>
        <v>11396.2</v>
      </c>
      <c r="J40" s="591">
        <f>LOOKUP(I40,119:119,120:120)-LOOKUP(C40,119:119,120:120)+100</f>
        <v>100</v>
      </c>
      <c r="K40" s="575"/>
      <c r="L40" s="2024"/>
      <c r="M40" s="2014"/>
      <c r="N40" s="2014"/>
      <c r="O40" s="2023"/>
      <c r="P40" s="3488"/>
      <c r="Q40" s="1506" t="str">
        <f>B40</f>
        <v>宗地面积</v>
      </c>
      <c r="R40" s="1507" t="s">
        <v>8</v>
      </c>
      <c r="S40" s="1508">
        <f t="shared" si="10"/>
        <v>102</v>
      </c>
      <c r="T40" s="1507" t="s">
        <v>8</v>
      </c>
      <c r="U40" s="1508">
        <f t="shared" si="11"/>
        <v>103</v>
      </c>
      <c r="V40" s="1507" t="s">
        <v>8</v>
      </c>
      <c r="W40" s="1508">
        <f t="shared" si="12"/>
        <v>100</v>
      </c>
      <c r="X40" s="1501"/>
      <c r="Y40" s="3488"/>
      <c r="Z40" s="1509" t="str">
        <f t="shared" si="13"/>
        <v>宗地面积</v>
      </c>
      <c r="AA40" s="1510">
        <f t="shared" si="3"/>
        <v>0.98039215686274506</v>
      </c>
      <c r="AB40" s="1510">
        <f t="shared" si="4"/>
        <v>0.970873786407767</v>
      </c>
      <c r="AC40" s="1510">
        <f t="shared" si="5"/>
        <v>1</v>
      </c>
    </row>
    <row r="41" spans="1:29" ht="20.25">
      <c r="A41" s="588"/>
      <c r="B41" s="521" t="s">
        <v>546</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88"/>
      <c r="Q41" s="1506" t="str">
        <f t="shared" ref="Q41:Q47" si="14">B41</f>
        <v>宗地形状</v>
      </c>
      <c r="R41" s="1507" t="s">
        <v>8</v>
      </c>
      <c r="S41" s="1508">
        <f t="shared" si="10"/>
        <v>100</v>
      </c>
      <c r="T41" s="1507" t="s">
        <v>8</v>
      </c>
      <c r="U41" s="1508">
        <f t="shared" si="11"/>
        <v>100</v>
      </c>
      <c r="V41" s="1507" t="s">
        <v>8</v>
      </c>
      <c r="W41" s="1508">
        <f t="shared" si="12"/>
        <v>100</v>
      </c>
      <c r="X41" s="1501"/>
      <c r="Y41" s="3488"/>
      <c r="Z41" s="1509" t="str">
        <f t="shared" si="13"/>
        <v>宗地形状</v>
      </c>
      <c r="AA41" s="1510">
        <f t="shared" si="3"/>
        <v>1</v>
      </c>
      <c r="AB41" s="1510">
        <f t="shared" si="4"/>
        <v>1</v>
      </c>
      <c r="AC41" s="1510">
        <f t="shared" si="5"/>
        <v>1</v>
      </c>
    </row>
    <row r="42" spans="1:29" ht="20.25">
      <c r="A42" s="588"/>
      <c r="B42" s="521" t="s">
        <v>547</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88"/>
      <c r="Q42" s="1506" t="str">
        <f t="shared" si="14"/>
        <v>临街宽度及深度</v>
      </c>
      <c r="R42" s="1507" t="s">
        <v>8</v>
      </c>
      <c r="S42" s="1508">
        <f t="shared" si="10"/>
        <v>100</v>
      </c>
      <c r="T42" s="1507" t="s">
        <v>8</v>
      </c>
      <c r="U42" s="1508">
        <f t="shared" si="11"/>
        <v>100</v>
      </c>
      <c r="V42" s="1507" t="s">
        <v>8</v>
      </c>
      <c r="W42" s="1508">
        <f t="shared" si="12"/>
        <v>100</v>
      </c>
      <c r="X42" s="1501"/>
      <c r="Y42" s="3488"/>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88"/>
      <c r="Q43" s="1506" t="str">
        <f t="shared" si="14"/>
        <v>宗地开发程度</v>
      </c>
      <c r="R43" s="1502" t="s">
        <v>8</v>
      </c>
      <c r="S43" s="1503">
        <f t="shared" si="10"/>
        <v>100</v>
      </c>
      <c r="T43" s="1502" t="s">
        <v>8</v>
      </c>
      <c r="U43" s="1503">
        <f t="shared" si="11"/>
        <v>100</v>
      </c>
      <c r="V43" s="1502" t="s">
        <v>8</v>
      </c>
      <c r="W43" s="1503">
        <f t="shared" si="12"/>
        <v>100</v>
      </c>
      <c r="X43" s="1504"/>
      <c r="Y43" s="3488"/>
      <c r="Z43" s="1133" t="str">
        <f t="shared" si="13"/>
        <v>宗地开发程度</v>
      </c>
      <c r="AA43" s="1505">
        <f t="shared" si="3"/>
        <v>1</v>
      </c>
      <c r="AB43" s="1505">
        <f t="shared" si="4"/>
        <v>1</v>
      </c>
      <c r="AC43" s="1505">
        <f t="shared" si="5"/>
        <v>1</v>
      </c>
    </row>
    <row r="44" spans="1:29" ht="21" thickBot="1">
      <c r="A44" s="588"/>
      <c r="B44" s="521" t="s">
        <v>548</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88" t="s">
        <v>543</v>
      </c>
      <c r="Q44" s="1506" t="str">
        <f t="shared" si="14"/>
        <v>工程地质条件</v>
      </c>
      <c r="R44" s="1507" t="s">
        <v>8</v>
      </c>
      <c r="S44" s="1508">
        <f t="shared" si="10"/>
        <v>100</v>
      </c>
      <c r="T44" s="1507" t="s">
        <v>8</v>
      </c>
      <c r="U44" s="1508">
        <f t="shared" si="11"/>
        <v>100</v>
      </c>
      <c r="V44" s="1507" t="s">
        <v>8</v>
      </c>
      <c r="W44" s="1508">
        <f t="shared" si="12"/>
        <v>100</v>
      </c>
      <c r="X44" s="1501"/>
      <c r="Y44" s="3488" t="s">
        <v>543</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88"/>
      <c r="Q45" s="1506">
        <f t="shared" si="14"/>
        <v>111</v>
      </c>
      <c r="R45" s="1507" t="s">
        <v>8</v>
      </c>
      <c r="S45" s="1508">
        <f t="shared" si="10"/>
        <v>100</v>
      </c>
      <c r="T45" s="1507" t="s">
        <v>8</v>
      </c>
      <c r="U45" s="1508">
        <f t="shared" si="11"/>
        <v>100</v>
      </c>
      <c r="V45" s="1507" t="s">
        <v>8</v>
      </c>
      <c r="W45" s="1508">
        <f t="shared" si="12"/>
        <v>100</v>
      </c>
      <c r="X45" s="1501"/>
      <c r="Y45" s="3488"/>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88"/>
      <c r="Q46" s="1506">
        <f t="shared" si="14"/>
        <v>111</v>
      </c>
      <c r="R46" s="1507" t="s">
        <v>8</v>
      </c>
      <c r="S46" s="1508">
        <f t="shared" si="10"/>
        <v>100</v>
      </c>
      <c r="T46" s="1507" t="s">
        <v>8</v>
      </c>
      <c r="U46" s="1508">
        <f t="shared" si="11"/>
        <v>100</v>
      </c>
      <c r="V46" s="1507" t="s">
        <v>8</v>
      </c>
      <c r="W46" s="1508">
        <f t="shared" si="12"/>
        <v>100</v>
      </c>
      <c r="X46" s="1501"/>
      <c r="Y46" s="3488"/>
      <c r="Z46" s="1509">
        <f t="shared" si="13"/>
        <v>111</v>
      </c>
      <c r="AA46" s="1510">
        <f t="shared" si="3"/>
        <v>1</v>
      </c>
      <c r="AB46" s="1510">
        <f t="shared" si="4"/>
        <v>1</v>
      </c>
      <c r="AC46" s="1510">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88"/>
      <c r="Q47" s="1506">
        <f t="shared" si="14"/>
        <v>111</v>
      </c>
      <c r="R47" s="1511" t="s">
        <v>8</v>
      </c>
      <c r="S47" s="1512">
        <f t="shared" si="10"/>
        <v>100</v>
      </c>
      <c r="T47" s="1511" t="s">
        <v>8</v>
      </c>
      <c r="U47" s="1512">
        <f t="shared" si="11"/>
        <v>100</v>
      </c>
      <c r="V47" s="1511" t="s">
        <v>8</v>
      </c>
      <c r="W47" s="1512">
        <f t="shared" si="12"/>
        <v>100</v>
      </c>
      <c r="X47" s="1513"/>
      <c r="Y47" s="3488"/>
      <c r="Z47" s="1514">
        <f t="shared" si="13"/>
        <v>111</v>
      </c>
      <c r="AA47" s="1510">
        <f t="shared" si="3"/>
        <v>1</v>
      </c>
      <c r="AB47" s="1510">
        <f t="shared" si="4"/>
        <v>1</v>
      </c>
      <c r="AC47" s="1510">
        <f t="shared" si="5"/>
        <v>1</v>
      </c>
    </row>
    <row r="48" spans="1:29" ht="20.25">
      <c r="A48" s="601" t="s">
        <v>549</v>
      </c>
      <c r="B48" s="602" t="s">
        <v>3265</v>
      </c>
      <c r="C48" s="603" t="s">
        <v>1</v>
      </c>
      <c r="D48" s="604"/>
      <c r="E48" s="605">
        <f>土地案例!N22</f>
        <v>18382.34</v>
      </c>
      <c r="F48" s="606"/>
      <c r="G48" s="607">
        <f>土地案例!N43</f>
        <v>10500.37</v>
      </c>
      <c r="H48" s="608"/>
      <c r="I48" s="605">
        <f>土地案例!N44</f>
        <v>10412.82</v>
      </c>
      <c r="J48" s="608"/>
      <c r="K48" s="1294"/>
      <c r="L48" s="2026"/>
      <c r="M48" s="2014"/>
      <c r="N48" s="2014"/>
      <c r="O48" s="2027"/>
      <c r="P48" s="3483" t="str">
        <f>A48</f>
        <v>成交单价</v>
      </c>
      <c r="Q48" s="3483"/>
      <c r="R48" s="3497">
        <f>E48</f>
        <v>18382.34</v>
      </c>
      <c r="S48" s="3497"/>
      <c r="T48" s="3497">
        <f>G48</f>
        <v>10500.37</v>
      </c>
      <c r="U48" s="3497"/>
      <c r="V48" s="3497">
        <f>I48</f>
        <v>10412.82</v>
      </c>
      <c r="W48" s="3497"/>
      <c r="X48" s="1496"/>
      <c r="Y48" s="1515"/>
      <c r="Z48" s="1496"/>
      <c r="AA48" s="1496"/>
      <c r="AB48" s="1496"/>
      <c r="AC48" s="1496"/>
    </row>
    <row r="49" spans="1:29" ht="21" thickBot="1">
      <c r="A49" s="609" t="s">
        <v>2672</v>
      </c>
      <c r="B49" s="610"/>
      <c r="C49" s="611">
        <f>R50</f>
        <v>13631</v>
      </c>
      <c r="D49" s="3013" t="s">
        <v>2965</v>
      </c>
      <c r="E49" s="611">
        <f>R49</f>
        <v>18871</v>
      </c>
      <c r="F49" s="3014"/>
      <c r="G49" s="612">
        <f>T49</f>
        <v>10950</v>
      </c>
      <c r="H49" s="3014"/>
      <c r="I49" s="611">
        <f>V49</f>
        <v>11072</v>
      </c>
      <c r="J49" s="3014"/>
      <c r="K49" s="3015">
        <f>F49+H49+J49</f>
        <v>0</v>
      </c>
      <c r="L49" s="2026"/>
      <c r="M49" s="2014"/>
      <c r="N49" s="2014"/>
      <c r="O49" s="2027"/>
      <c r="P49" s="3483" t="str">
        <f>A49</f>
        <v>比较价格（元/平方米）</v>
      </c>
      <c r="Q49" s="3483"/>
      <c r="R49" s="3507">
        <f>ROUND(PRODUCT(R48,AA9:AA47),0)</f>
        <v>18871</v>
      </c>
      <c r="S49" s="3507"/>
      <c r="T49" s="3507">
        <f>ROUND(PRODUCT(T48,AB9:AB47),0)</f>
        <v>10950</v>
      </c>
      <c r="U49" s="3507"/>
      <c r="V49" s="3507">
        <f>ROUND(PRODUCT(V48,AC9:AC47),0)</f>
        <v>11072</v>
      </c>
      <c r="W49" s="3507"/>
      <c r="X49" s="1496"/>
      <c r="Y49" s="1496"/>
      <c r="Z49" s="1496"/>
      <c r="AA49" s="1496"/>
      <c r="AB49" s="1496"/>
      <c r="AC49" s="1496"/>
    </row>
    <row r="50" spans="1:29" ht="21" thickBot="1">
      <c r="A50" s="613" t="s">
        <v>2897</v>
      </c>
      <c r="B50" s="614"/>
      <c r="C50" s="615">
        <f>R50</f>
        <v>13631</v>
      </c>
      <c r="D50" s="615"/>
      <c r="E50" s="615"/>
      <c r="F50" s="615"/>
      <c r="G50" s="615"/>
      <c r="H50" s="615"/>
      <c r="I50" s="615"/>
      <c r="J50" s="615"/>
      <c r="K50" s="1295"/>
      <c r="L50" s="2026"/>
      <c r="M50" s="2014"/>
      <c r="N50" s="2014"/>
      <c r="O50" s="2027"/>
      <c r="P50" s="3504" t="str">
        <f>A50</f>
        <v>估价对象XX用房的比较价格（楼面单价，元/平方米）</v>
      </c>
      <c r="Q50" s="3505"/>
      <c r="R50" s="3506">
        <f>ROUND(IF(D49="简单平均",AVERAGE(R49:W49),R49*F49+T49*H49+V49*J49),0)</f>
        <v>13631</v>
      </c>
      <c r="S50" s="3506"/>
      <c r="T50" s="3506"/>
      <c r="U50" s="3506"/>
      <c r="V50" s="3506"/>
      <c r="W50" s="3506"/>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550</v>
      </c>
      <c r="D53" s="617"/>
      <c r="E53" s="618">
        <f>IF(E48&lt;E49,E49/E48-1,E48/E49-1)</f>
        <v>2.6583122714518348E-2</v>
      </c>
      <c r="F53" s="619" t="str">
        <f>IF(OR(E53&gt;=0.3,E53&lt;=-0.3),"超过30%","")</f>
        <v/>
      </c>
      <c r="G53" s="618">
        <f>IF(G48&lt;G49,G49/G48-1,G48/G49-1)</f>
        <v>4.2820395852717574E-2</v>
      </c>
      <c r="H53" s="619" t="str">
        <f>IF(OR(G53&gt;=0.3,G53&lt;=-0.3),"超过30%","")</f>
        <v/>
      </c>
      <c r="I53" s="618">
        <f>IF(I48&lt;I49,I49/I48-1,I48/I49-1)</f>
        <v>6.3304657143790077E-2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551</v>
      </c>
      <c r="D54" s="620"/>
      <c r="E54" s="618">
        <f>IF(E49&lt;G49,G49/E49-1,E49/G49-1)</f>
        <v>0.72337899543378992</v>
      </c>
      <c r="F54" s="619" t="str">
        <f>IF(OR(E54&gt;=0.2,E54&lt;=-0.2),"超过20%","")</f>
        <v>超过20%</v>
      </c>
      <c r="G54" s="618">
        <f>IF(G49&lt;I49,I49/G49-1,G49/I49-1)</f>
        <v>1.1141552511415576E-2</v>
      </c>
      <c r="H54" s="619" t="str">
        <f>IF(OR(G54&gt;=0.2,G54&lt;=-0.2),"超过20%","")</f>
        <v/>
      </c>
      <c r="I54" s="618">
        <f>IF(I49&lt;E49,E49/I49-1,I49/E49-1)</f>
        <v>0.70438945086705207</v>
      </c>
      <c r="J54" s="619" t="str">
        <f>IF(OR(I54&gt;=0.2,I54&lt;=-0.2),"超过20%","")</f>
        <v>超过20%</v>
      </c>
      <c r="K54" s="3215"/>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3"/>
      <c r="B55" s="3213"/>
      <c r="C55" s="616" t="s">
        <v>552</v>
      </c>
      <c r="D55" s="620"/>
      <c r="E55" s="618">
        <f>IF(E48&lt;G48,G48/E48-1,E48/G48-1)</f>
        <v>0.75063735849308166</v>
      </c>
      <c r="F55" s="619" t="str">
        <f>IF(OR(E55&gt;=0.3,E55&lt;=-0.3),"超过30%","")</f>
        <v>超过30%</v>
      </c>
      <c r="G55" s="618">
        <f>IF(G48&lt;I48,I48/G48-1,G48/I48-1)</f>
        <v>8.4079048711109827E-3</v>
      </c>
      <c r="H55" s="619" t="str">
        <f>IF(OR(G55&gt;=0.3,G55&lt;=-0.3),"超过30%","")</f>
        <v/>
      </c>
      <c r="I55" s="618">
        <f>IF(I48&lt;E48,E48/I48-1,I48/E48-1)</f>
        <v>0.7653565508671043</v>
      </c>
      <c r="J55" s="619" t="str">
        <f>IF(OR(I55&gt;=0.3,I55&lt;=-0.3),"超过30%","")</f>
        <v>超过30%</v>
      </c>
      <c r="K55" s="3216"/>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553</v>
      </c>
      <c r="B57" s="622" t="s">
        <v>554</v>
      </c>
      <c r="C57" s="1497" t="s">
        <v>1714</v>
      </c>
      <c r="D57" s="2107" t="s">
        <v>2280</v>
      </c>
      <c r="E57" s="623" t="s">
        <v>555</v>
      </c>
      <c r="F57" s="624" t="s">
        <v>556</v>
      </c>
      <c r="G57" s="3467" t="s">
        <v>2268</v>
      </c>
      <c r="H57" s="3468"/>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557</v>
      </c>
      <c r="B58" s="626">
        <f>C50</f>
        <v>13631</v>
      </c>
      <c r="C58" s="627">
        <v>1</v>
      </c>
      <c r="D58" s="2108">
        <v>1</v>
      </c>
      <c r="E58" s="627">
        <f>'数据-汇总表'!E8+'数据-汇总表'!E9</f>
        <v>37200</v>
      </c>
      <c r="F58" s="628">
        <f t="shared" ref="F58:F67" si="15">ROUND(B58*E58/10000,0)</f>
        <v>50707</v>
      </c>
      <c r="G58" s="3469"/>
      <c r="H58" s="3470"/>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558</v>
      </c>
      <c r="B59" s="630">
        <f>ROUND($C$50*C59*D59,0)</f>
        <v>0</v>
      </c>
      <c r="C59" s="372">
        <f t="shared" ref="C59:C67" si="16">IF($C$57="北京市系数",I59,J59)</f>
        <v>0</v>
      </c>
      <c r="D59" s="2109">
        <v>0.25</v>
      </c>
      <c r="E59" s="631">
        <v>0</v>
      </c>
      <c r="F59" s="628">
        <f t="shared" si="15"/>
        <v>0</v>
      </c>
      <c r="G59" s="3471" t="s">
        <v>2269</v>
      </c>
      <c r="H59" s="1862">
        <f>项目基本情况!B43</f>
        <v>0</v>
      </c>
      <c r="I59" s="1494">
        <f>SUMIF(修正!$A$45:$A$56,H59,修正!B45:B56)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559</v>
      </c>
      <c r="B60" s="630">
        <f t="shared" ref="B60:B67" si="17">ROUND($C$50*C60*D60,0)</f>
        <v>0</v>
      </c>
      <c r="C60" s="372">
        <f t="shared" si="16"/>
        <v>0</v>
      </c>
      <c r="D60" s="2109">
        <v>0.25</v>
      </c>
      <c r="E60" s="631">
        <v>0</v>
      </c>
      <c r="F60" s="628">
        <f t="shared" si="15"/>
        <v>0</v>
      </c>
      <c r="G60" s="3471"/>
      <c r="H60" s="1862">
        <f>项目基本情况!B43</f>
        <v>0</v>
      </c>
      <c r="I60" s="1494">
        <f>SUMIF(修正!$A$45:$A$56,H60,修正!C45:C56)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560</v>
      </c>
      <c r="B61" s="630">
        <f t="shared" si="17"/>
        <v>0</v>
      </c>
      <c r="C61" s="372">
        <f t="shared" si="16"/>
        <v>0</v>
      </c>
      <c r="D61" s="2109">
        <v>0.25</v>
      </c>
      <c r="E61" s="631">
        <v>0</v>
      </c>
      <c r="F61" s="628">
        <f t="shared" si="15"/>
        <v>0</v>
      </c>
      <c r="G61" s="3471"/>
      <c r="H61" s="1862">
        <f>项目基本情况!B43</f>
        <v>0</v>
      </c>
      <c r="I61" s="1494">
        <f>SUMIF(修正!$A$45:$A$56,H61,修正!D45:D56)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561</v>
      </c>
      <c r="B62" s="630">
        <f t="shared" si="17"/>
        <v>0</v>
      </c>
      <c r="C62" s="372">
        <f t="shared" si="16"/>
        <v>0</v>
      </c>
      <c r="D62" s="2109">
        <v>0.25</v>
      </c>
      <c r="E62" s="631">
        <v>0</v>
      </c>
      <c r="F62" s="628">
        <f t="shared" si="15"/>
        <v>0</v>
      </c>
      <c r="G62" s="3471"/>
      <c r="H62" s="1862">
        <f>项目基本情况!B43</f>
        <v>0</v>
      </c>
      <c r="I62" s="1494">
        <f>SUMIF(修正!$A$45:$A$56,H62,修正!E45:E56)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562</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563</v>
      </c>
      <c r="B65" s="630">
        <f t="shared" si="17"/>
        <v>0</v>
      </c>
      <c r="C65" s="372">
        <f t="shared" si="16"/>
        <v>0</v>
      </c>
      <c r="D65" s="2109">
        <v>0.25</v>
      </c>
      <c r="E65" s="633">
        <f>'数据-汇总表'!E13</f>
        <v>31000</v>
      </c>
      <c r="F65" s="628">
        <f t="shared" si="15"/>
        <v>0</v>
      </c>
      <c r="G65" s="1860" t="s">
        <v>913</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564</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565</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566</v>
      </c>
      <c r="B68" s="635" t="s">
        <v>17</v>
      </c>
      <c r="C68" s="635" t="s">
        <v>18</v>
      </c>
      <c r="D68" s="635" t="s">
        <v>2281</v>
      </c>
      <c r="E68" s="635">
        <f>IF(B48="楼面地价",SUM(E58:E67),'数据-汇总表'!D3)</f>
        <v>68200</v>
      </c>
      <c r="F68" s="636">
        <f>IF(B48="楼面地价",SUM(F58:F67),ROUND(C50*E68/10000,0))</f>
        <v>50707</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2021-9-1</v>
      </c>
      <c r="D70" s="2516">
        <f>EDATE(C70,-3)</f>
        <v>44348</v>
      </c>
      <c r="E70" s="2516">
        <f t="shared" ref="E70:N70" si="18">EDATE(D70,-3)</f>
        <v>44256</v>
      </c>
      <c r="F70" s="2516">
        <f t="shared" si="18"/>
        <v>44166</v>
      </c>
      <c r="G70" s="2516">
        <f t="shared" si="18"/>
        <v>44075</v>
      </c>
      <c r="H70" s="2516">
        <f t="shared" si="18"/>
        <v>43983</v>
      </c>
      <c r="I70" s="2516">
        <f t="shared" si="18"/>
        <v>43891</v>
      </c>
      <c r="J70" s="2516">
        <f t="shared" si="18"/>
        <v>43800</v>
      </c>
      <c r="K70" s="2516">
        <f t="shared" si="18"/>
        <v>43709</v>
      </c>
      <c r="L70" s="2516">
        <f t="shared" si="18"/>
        <v>43617</v>
      </c>
      <c r="M70" s="2516">
        <f t="shared" si="18"/>
        <v>43525</v>
      </c>
      <c r="N70" s="2516">
        <f t="shared" si="18"/>
        <v>43435</v>
      </c>
      <c r="O70" s="2027"/>
      <c r="P70" s="2027"/>
      <c r="Q70" s="2027"/>
      <c r="R70" s="2027"/>
      <c r="S70" s="2027"/>
      <c r="T70" s="2027"/>
      <c r="U70" s="2027"/>
      <c r="V70" s="2027"/>
      <c r="W70" s="2027"/>
      <c r="X70" s="2027"/>
      <c r="Y70" s="2027"/>
      <c r="Z70" s="2027"/>
      <c r="AA70" s="2027"/>
      <c r="AB70" s="2027"/>
      <c r="AC70" s="2027"/>
    </row>
    <row r="71" spans="1:29" ht="21.75" thickBot="1">
      <c r="A71" s="1518" t="s">
        <v>567</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2512</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2626</v>
      </c>
      <c r="B73" s="473" t="str">
        <f>"北京市平均增长率"&amp;TEXT(SUMIF(基准地价!N21:N25,A73,基准地价!P21:P25),"0.00%")</f>
        <v>北京市平均增长率1.70%</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524</v>
      </c>
      <c r="B75" s="640"/>
      <c r="C75" s="652" t="s">
        <v>569</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570</v>
      </c>
      <c r="B77" s="657" t="s">
        <v>527</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530</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531</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532</v>
      </c>
      <c r="B90" s="657" t="s">
        <v>571</v>
      </c>
      <c r="C90" s="695" t="s">
        <v>572</v>
      </c>
      <c r="D90" s="695" t="s">
        <v>573</v>
      </c>
      <c r="E90" s="695" t="s">
        <v>574</v>
      </c>
      <c r="F90" s="695" t="s">
        <v>575</v>
      </c>
      <c r="G90" s="695" t="s">
        <v>576</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577</v>
      </c>
      <c r="C92" s="700" t="s">
        <v>572</v>
      </c>
      <c r="D92" s="700" t="s">
        <v>573</v>
      </c>
      <c r="E92" s="700" t="s">
        <v>574</v>
      </c>
      <c r="F92" s="700" t="s">
        <v>575</v>
      </c>
      <c r="G92" s="700" t="s">
        <v>576</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578</v>
      </c>
      <c r="C94" s="700" t="s">
        <v>572</v>
      </c>
      <c r="D94" s="700" t="s">
        <v>573</v>
      </c>
      <c r="E94" s="700" t="s">
        <v>574</v>
      </c>
      <c r="F94" s="700" t="s">
        <v>575</v>
      </c>
      <c r="G94" s="700" t="s">
        <v>576</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579</v>
      </c>
      <c r="C96" s="700" t="s">
        <v>572</v>
      </c>
      <c r="D96" s="700" t="s">
        <v>573</v>
      </c>
      <c r="E96" s="700" t="s">
        <v>574</v>
      </c>
      <c r="F96" s="700" t="s">
        <v>575</v>
      </c>
      <c r="G96" s="700" t="s">
        <v>576</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580</v>
      </c>
      <c r="C98" s="700" t="s">
        <v>572</v>
      </c>
      <c r="D98" s="700" t="s">
        <v>573</v>
      </c>
      <c r="E98" s="700" t="s">
        <v>574</v>
      </c>
      <c r="F98" s="700" t="s">
        <v>575</v>
      </c>
      <c r="G98" s="700" t="s">
        <v>576</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581</v>
      </c>
      <c r="C100" s="695" t="s">
        <v>572</v>
      </c>
      <c r="D100" s="695" t="s">
        <v>573</v>
      </c>
      <c r="E100" s="695" t="s">
        <v>574</v>
      </c>
      <c r="F100" s="695" t="s">
        <v>575</v>
      </c>
      <c r="G100" s="695" t="s">
        <v>576</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2528</v>
      </c>
      <c r="C102" s="695" t="s">
        <v>572</v>
      </c>
      <c r="D102" s="695" t="s">
        <v>573</v>
      </c>
      <c r="E102" s="695" t="s">
        <v>574</v>
      </c>
      <c r="F102" s="695" t="s">
        <v>575</v>
      </c>
      <c r="G102" s="695" t="s">
        <v>576</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541</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542</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544</v>
      </c>
      <c r="B118" s="657" t="s">
        <v>586</v>
      </c>
      <c r="C118" s="696" t="str">
        <f t="shared" ref="C118:L118" si="26">C119&amp;"(含)"&amp;"-"&amp;D119</f>
        <v>0(含)-10000</v>
      </c>
      <c r="D118" s="696" t="str">
        <f t="shared" si="26"/>
        <v>10000(含)-30000</v>
      </c>
      <c r="E118" s="696" t="str">
        <f t="shared" si="26"/>
        <v>30000(含)-50000</v>
      </c>
      <c r="F118" s="696" t="str">
        <f t="shared" si="26"/>
        <v>50000(含)-100000</v>
      </c>
      <c r="G118" s="696" t="str">
        <f t="shared" si="26"/>
        <v>100000(含)-300000</v>
      </c>
      <c r="H118" s="696" t="str">
        <f t="shared" si="26"/>
        <v>300000(含)-500000</v>
      </c>
      <c r="I118" s="696" t="str">
        <f t="shared" si="26"/>
        <v>500000(含)-</v>
      </c>
      <c r="J118" s="2779" t="str">
        <f t="shared" si="26"/>
        <v>(含)-</v>
      </c>
      <c r="K118" s="2779" t="str">
        <f t="shared" si="26"/>
        <v>(含)-</v>
      </c>
      <c r="L118" s="2780" t="str">
        <f t="shared" si="26"/>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30000</v>
      </c>
      <c r="F119" s="722">
        <v>50000</v>
      </c>
      <c r="G119" s="722">
        <v>100000</v>
      </c>
      <c r="H119" s="722">
        <v>300000</v>
      </c>
      <c r="I119" s="722">
        <v>500000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718">
        <f>D120-1</f>
        <v>98</v>
      </c>
      <c r="D120" s="718">
        <f>E120-1</f>
        <v>99</v>
      </c>
      <c r="E120" s="718">
        <v>100</v>
      </c>
      <c r="F120" s="718">
        <f>E120+1</f>
        <v>101</v>
      </c>
      <c r="G120" s="718">
        <f>F120+1</f>
        <v>102</v>
      </c>
      <c r="H120" s="718">
        <f>G120+1</f>
        <v>103</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587</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588</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589</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294" t="str">
        <f>项目基本情况!B1</f>
        <v>北京市北京经济技术开发区核心区67#街区67F1地块出让国有建设用地使用权抵押价格预评估</v>
      </c>
      <c r="C37" s="3294"/>
      <c r="D37" s="3294"/>
      <c r="E37" s="3294"/>
      <c r="F37" s="3294"/>
      <c r="G37" s="3294"/>
      <c r="H37" s="3294"/>
      <c r="I37" s="3294"/>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崔锴、郑燚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509</v>
      </c>
      <c r="B1" s="497"/>
      <c r="C1" s="498" t="s">
        <v>590</v>
      </c>
      <c r="D1" s="499" t="s">
        <v>511</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460</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c r="A3" s="1331" t="s">
        <v>1675</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513</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462</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514</v>
      </c>
      <c r="B6" s="507"/>
      <c r="C6" s="3489" t="s">
        <v>515</v>
      </c>
      <c r="D6" s="3490"/>
      <c r="E6" s="3514" t="s">
        <v>516</v>
      </c>
      <c r="F6" s="3515"/>
      <c r="G6" s="3489" t="s">
        <v>517</v>
      </c>
      <c r="H6" s="3490"/>
      <c r="I6" s="3489" t="s">
        <v>518</v>
      </c>
      <c r="J6" s="3490"/>
      <c r="K6" s="508" t="s">
        <v>519</v>
      </c>
      <c r="L6" s="2015"/>
      <c r="M6" s="2016"/>
      <c r="N6" s="2016"/>
      <c r="O6" s="2016"/>
      <c r="P6" s="3491" t="s">
        <v>520</v>
      </c>
      <c r="Q6" s="3492"/>
      <c r="R6" s="3477" t="s">
        <v>516</v>
      </c>
      <c r="S6" s="3478"/>
      <c r="T6" s="3477" t="s">
        <v>517</v>
      </c>
      <c r="U6" s="3478"/>
      <c r="V6" s="3497" t="s">
        <v>518</v>
      </c>
      <c r="W6" s="3497"/>
      <c r="X6" s="1501"/>
      <c r="Y6" s="3477" t="s">
        <v>520</v>
      </c>
      <c r="Z6" s="3478"/>
      <c r="AA6" s="3472" t="s">
        <v>516</v>
      </c>
      <c r="AB6" s="3473" t="s">
        <v>517</v>
      </c>
      <c r="AC6" s="3472" t="s">
        <v>518</v>
      </c>
    </row>
    <row r="7" spans="1:29" ht="15">
      <c r="A7" s="509"/>
      <c r="B7" s="510"/>
      <c r="C7" s="3500" t="s">
        <v>2891</v>
      </c>
      <c r="D7" s="3501"/>
      <c r="E7" s="3516" t="s">
        <v>2892</v>
      </c>
      <c r="F7" s="3517"/>
      <c r="G7" s="3500" t="s">
        <v>2893</v>
      </c>
      <c r="H7" s="3501"/>
      <c r="I7" s="3500" t="s">
        <v>2894</v>
      </c>
      <c r="J7" s="3501"/>
      <c r="K7" s="508"/>
      <c r="L7" s="2015"/>
      <c r="M7" s="2016"/>
      <c r="N7" s="2016"/>
      <c r="O7" s="2016"/>
      <c r="P7" s="3493"/>
      <c r="Q7" s="3494"/>
      <c r="R7" s="3479"/>
      <c r="S7" s="3480"/>
      <c r="T7" s="3479"/>
      <c r="U7" s="3480"/>
      <c r="V7" s="3497"/>
      <c r="W7" s="3497"/>
      <c r="X7" s="1501"/>
      <c r="Y7" s="3479"/>
      <c r="Z7" s="3480"/>
      <c r="AA7" s="3473"/>
      <c r="AB7" s="3473"/>
      <c r="AC7" s="3473"/>
    </row>
    <row r="8" spans="1:29" ht="15.75" thickBot="1">
      <c r="A8" s="511"/>
      <c r="B8" s="512"/>
      <c r="C8" s="3498" t="s">
        <v>2895</v>
      </c>
      <c r="D8" s="3499"/>
      <c r="E8" s="3518" t="s">
        <v>2895</v>
      </c>
      <c r="F8" s="3519"/>
      <c r="G8" s="3498" t="s">
        <v>2895</v>
      </c>
      <c r="H8" s="3499"/>
      <c r="I8" s="3498" t="s">
        <v>2895</v>
      </c>
      <c r="J8" s="3499"/>
      <c r="K8" s="508" t="s">
        <v>521</v>
      </c>
      <c r="L8" s="2015"/>
      <c r="M8" s="2016"/>
      <c r="N8" s="2016"/>
      <c r="O8" s="2016"/>
      <c r="P8" s="3495"/>
      <c r="Q8" s="3496"/>
      <c r="R8" s="3479"/>
      <c r="S8" s="3480"/>
      <c r="T8" s="3481"/>
      <c r="U8" s="3482"/>
      <c r="V8" s="3497"/>
      <c r="W8" s="3497"/>
      <c r="X8" s="1501"/>
      <c r="Y8" s="3481"/>
      <c r="Z8" s="3482"/>
      <c r="AA8" s="3474"/>
      <c r="AB8" s="3474"/>
      <c r="AC8" s="3474"/>
    </row>
    <row r="9" spans="1:29" s="1203" customFormat="1" ht="15.75" thickBot="1">
      <c r="A9" s="2629"/>
      <c r="B9" s="2636" t="s">
        <v>522</v>
      </c>
      <c r="C9" s="513">
        <f>'数据-取费表'!B2</f>
        <v>44448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75" t="s">
        <v>523</v>
      </c>
      <c r="Q9" s="3484"/>
      <c r="R9" s="1502" t="s">
        <v>8</v>
      </c>
      <c r="S9" s="1503">
        <f t="shared" ref="S9:S17" si="0">F9</f>
        <v>0</v>
      </c>
      <c r="T9" s="1502" t="s">
        <v>8</v>
      </c>
      <c r="U9" s="1503">
        <f t="shared" ref="U9:U17" si="1">H9</f>
        <v>0</v>
      </c>
      <c r="V9" s="1502" t="s">
        <v>8</v>
      </c>
      <c r="W9" s="1503">
        <f t="shared" ref="W9:W17" si="2">J9</f>
        <v>0</v>
      </c>
      <c r="X9" s="1504"/>
      <c r="Y9" s="3475" t="s">
        <v>523</v>
      </c>
      <c r="Z9" s="3476"/>
      <c r="AA9" s="1505" t="e">
        <f>D9/F9</f>
        <v>#DIV/0!</v>
      </c>
      <c r="AB9" s="1505" t="e">
        <f>D9/H9</f>
        <v>#DIV/0!</v>
      </c>
      <c r="AC9" s="1505" t="e">
        <f>D9/J9</f>
        <v>#DIV/0!</v>
      </c>
    </row>
    <row r="10" spans="1:29" s="1203" customFormat="1" ht="15.75" thickBot="1">
      <c r="A10" s="2630"/>
      <c r="B10" s="2637"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75" t="s">
        <v>526</v>
      </c>
      <c r="Q10" s="3476"/>
      <c r="R10" s="1502" t="s">
        <v>8</v>
      </c>
      <c r="S10" s="1503">
        <f t="shared" si="0"/>
        <v>0</v>
      </c>
      <c r="T10" s="1502" t="s">
        <v>8</v>
      </c>
      <c r="U10" s="1503">
        <f t="shared" si="1"/>
        <v>0</v>
      </c>
      <c r="V10" s="1502" t="s">
        <v>8</v>
      </c>
      <c r="W10" s="1503">
        <f t="shared" si="2"/>
        <v>0</v>
      </c>
      <c r="X10" s="1504"/>
      <c r="Y10" s="3475" t="s">
        <v>526</v>
      </c>
      <c r="Z10" s="3476"/>
      <c r="AA10" s="1505" t="e">
        <f t="shared" ref="AA10:AA42" si="3">D10/F10</f>
        <v>#DIV/0!</v>
      </c>
      <c r="AB10" s="1505" t="e">
        <f t="shared" ref="AB10:AB42" si="4">D10/H10</f>
        <v>#DIV/0!</v>
      </c>
      <c r="AC10" s="1505" t="e">
        <f t="shared" ref="AC10:AC42" si="5">D10/J10</f>
        <v>#DIV/0!</v>
      </c>
    </row>
    <row r="11" spans="1:29" s="1203"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3" t="s">
        <v>528</v>
      </c>
      <c r="Q11" s="1134" t="str">
        <f t="shared" ref="Q11:Q17" si="6">B11</f>
        <v>用途</v>
      </c>
      <c r="R11" s="1502" t="s">
        <v>8</v>
      </c>
      <c r="S11" s="1503">
        <f t="shared" si="0"/>
        <v>100</v>
      </c>
      <c r="T11" s="1502" t="s">
        <v>8</v>
      </c>
      <c r="U11" s="1503">
        <f t="shared" si="1"/>
        <v>100</v>
      </c>
      <c r="V11" s="1502" t="s">
        <v>8</v>
      </c>
      <c r="W11" s="1503">
        <f t="shared" si="2"/>
        <v>100</v>
      </c>
      <c r="X11" s="1504"/>
      <c r="Y11" s="3434" t="s">
        <v>529</v>
      </c>
      <c r="Z11" s="1133" t="str">
        <f t="shared" ref="Z11:Z17" si="7">Q11</f>
        <v>用途</v>
      </c>
      <c r="AA11" s="1505">
        <f t="shared" si="3"/>
        <v>1</v>
      </c>
      <c r="AB11" s="1505">
        <f t="shared" si="4"/>
        <v>1</v>
      </c>
      <c r="AC11" s="1505">
        <f t="shared" si="5"/>
        <v>1</v>
      </c>
    </row>
    <row r="12" spans="1:29" s="1292"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83"/>
      <c r="Q12" s="1134" t="str">
        <f t="shared" si="6"/>
        <v>土地使用年限（年）</v>
      </c>
      <c r="R12" s="1502" t="s">
        <v>8</v>
      </c>
      <c r="S12" s="1503">
        <f t="shared" si="0"/>
        <v>100</v>
      </c>
      <c r="T12" s="1502" t="s">
        <v>8</v>
      </c>
      <c r="U12" s="1503">
        <f t="shared" si="1"/>
        <v>100</v>
      </c>
      <c r="V12" s="1502" t="s">
        <v>8</v>
      </c>
      <c r="W12" s="1503">
        <f t="shared" si="2"/>
        <v>100</v>
      </c>
      <c r="X12" s="1504"/>
      <c r="Y12" s="3434"/>
      <c r="Z12" s="1133"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3"/>
      <c r="Q13" s="1134" t="str">
        <f t="shared" si="6"/>
        <v>容积率</v>
      </c>
      <c r="R13" s="1502" t="s">
        <v>8</v>
      </c>
      <c r="S13" s="1503" t="e">
        <f t="shared" si="0"/>
        <v>#N/A</v>
      </c>
      <c r="T13" s="1502" t="s">
        <v>8</v>
      </c>
      <c r="U13" s="1503" t="e">
        <f t="shared" si="1"/>
        <v>#N/A</v>
      </c>
      <c r="V13" s="1502" t="s">
        <v>8</v>
      </c>
      <c r="W13" s="1503" t="e">
        <f t="shared" si="2"/>
        <v>#N/A</v>
      </c>
      <c r="X13" s="1504"/>
      <c r="Y13" s="3434"/>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3"/>
      <c r="Q14" s="1134">
        <f t="shared" si="6"/>
        <v>111</v>
      </c>
      <c r="R14" s="1502" t="s">
        <v>8</v>
      </c>
      <c r="S14" s="1503">
        <f t="shared" si="0"/>
        <v>100</v>
      </c>
      <c r="T14" s="1502" t="s">
        <v>8</v>
      </c>
      <c r="U14" s="1503">
        <f t="shared" si="1"/>
        <v>100</v>
      </c>
      <c r="V14" s="1502" t="s">
        <v>8</v>
      </c>
      <c r="W14" s="1503">
        <f t="shared" si="2"/>
        <v>100</v>
      </c>
      <c r="X14" s="1504"/>
      <c r="Y14" s="3434"/>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3"/>
      <c r="Q15" s="1134">
        <f t="shared" si="6"/>
        <v>111</v>
      </c>
      <c r="R15" s="1502" t="s">
        <v>8</v>
      </c>
      <c r="S15" s="1503">
        <f t="shared" si="0"/>
        <v>100</v>
      </c>
      <c r="T15" s="1502" t="s">
        <v>8</v>
      </c>
      <c r="U15" s="1503">
        <f t="shared" si="1"/>
        <v>100</v>
      </c>
      <c r="V15" s="1502" t="s">
        <v>8</v>
      </c>
      <c r="W15" s="1503">
        <f t="shared" si="2"/>
        <v>100</v>
      </c>
      <c r="X15" s="1504"/>
      <c r="Y15" s="3434"/>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3"/>
      <c r="Q16" s="1134">
        <f t="shared" si="6"/>
        <v>111</v>
      </c>
      <c r="R16" s="1502" t="s">
        <v>8</v>
      </c>
      <c r="S16" s="1503">
        <f t="shared" si="0"/>
        <v>100</v>
      </c>
      <c r="T16" s="1502" t="s">
        <v>8</v>
      </c>
      <c r="U16" s="1503">
        <f t="shared" si="1"/>
        <v>100</v>
      </c>
      <c r="V16" s="1502" t="s">
        <v>8</v>
      </c>
      <c r="W16" s="1503">
        <f t="shared" si="2"/>
        <v>100</v>
      </c>
      <c r="X16" s="1504"/>
      <c r="Y16" s="3434"/>
      <c r="Z16" s="1133">
        <f t="shared" si="7"/>
        <v>111</v>
      </c>
      <c r="AA16" s="1505">
        <f t="shared" si="3"/>
        <v>1</v>
      </c>
      <c r="AB16" s="1505">
        <f t="shared" si="4"/>
        <v>1</v>
      </c>
      <c r="AC16" s="1505">
        <f t="shared" si="5"/>
        <v>1</v>
      </c>
    </row>
    <row r="17" spans="1:29" ht="57">
      <c r="A17" s="2627" t="s">
        <v>2733</v>
      </c>
      <c r="B17" s="164" t="s">
        <v>591</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85" t="s">
        <v>533</v>
      </c>
      <c r="Q17" s="1506" t="str">
        <f t="shared" si="6"/>
        <v>产业集聚程度</v>
      </c>
      <c r="R17" s="1507" t="s">
        <v>8</v>
      </c>
      <c r="S17" s="1508">
        <f t="shared" si="0"/>
        <v>100</v>
      </c>
      <c r="T17" s="1507" t="s">
        <v>8</v>
      </c>
      <c r="U17" s="1508">
        <f t="shared" si="1"/>
        <v>100</v>
      </c>
      <c r="V17" s="1507" t="s">
        <v>8</v>
      </c>
      <c r="W17" s="1508">
        <f t="shared" si="2"/>
        <v>100</v>
      </c>
      <c r="X17" s="1501"/>
      <c r="Y17" s="3485" t="s">
        <v>533</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86"/>
      <c r="Q18" s="1506"/>
      <c r="R18" s="1507"/>
      <c r="S18" s="1508"/>
      <c r="T18" s="1507"/>
      <c r="U18" s="1508"/>
      <c r="V18" s="1507"/>
      <c r="W18" s="1508"/>
      <c r="X18" s="1501"/>
      <c r="Y18" s="3486"/>
      <c r="Z18" s="1509"/>
      <c r="AA18" s="1510">
        <v>1</v>
      </c>
      <c r="AB18" s="1510">
        <v>1</v>
      </c>
      <c r="AC18" s="1510">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86"/>
      <c r="Q19" s="1506" t="str">
        <f>B19</f>
        <v>交通便捷度</v>
      </c>
      <c r="R19" s="1507" t="s">
        <v>8</v>
      </c>
      <c r="S19" s="1508">
        <f>F19</f>
        <v>100</v>
      </c>
      <c r="T19" s="1507" t="s">
        <v>8</v>
      </c>
      <c r="U19" s="1508">
        <f>H19</f>
        <v>100</v>
      </c>
      <c r="V19" s="1507" t="s">
        <v>8</v>
      </c>
      <c r="W19" s="1508">
        <f>J19</f>
        <v>100</v>
      </c>
      <c r="X19" s="1501"/>
      <c r="Y19" s="3486"/>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86"/>
      <c r="Q20" s="1506"/>
      <c r="R20" s="1507"/>
      <c r="S20" s="1508"/>
      <c r="T20" s="1507"/>
      <c r="U20" s="1508"/>
      <c r="V20" s="1507"/>
      <c r="W20" s="1508"/>
      <c r="X20" s="1501"/>
      <c r="Y20" s="3486"/>
      <c r="Z20" s="1509"/>
      <c r="AA20" s="1510">
        <v>1</v>
      </c>
      <c r="AB20" s="1510">
        <v>1</v>
      </c>
      <c r="AC20" s="1510">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86"/>
      <c r="Q21" s="1506" t="str">
        <f t="shared" ref="Q21:Q35" si="8">B21</f>
        <v>区域土地利用方向</v>
      </c>
      <c r="R21" s="1507" t="s">
        <v>8</v>
      </c>
      <c r="S21" s="1508">
        <f>F21</f>
        <v>100</v>
      </c>
      <c r="T21" s="1507" t="s">
        <v>8</v>
      </c>
      <c r="U21" s="1508">
        <f>H21</f>
        <v>100</v>
      </c>
      <c r="V21" s="1507" t="s">
        <v>8</v>
      </c>
      <c r="W21" s="1508">
        <f>J21</f>
        <v>100</v>
      </c>
      <c r="X21" s="1501"/>
      <c r="Y21" s="348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86"/>
      <c r="Q22" s="1506"/>
      <c r="R22" s="1507"/>
      <c r="S22" s="1508"/>
      <c r="T22" s="1507"/>
      <c r="U22" s="1508"/>
      <c r="V22" s="1507"/>
      <c r="W22" s="1508"/>
      <c r="X22" s="1501"/>
      <c r="Y22" s="3486"/>
      <c r="Z22" s="1509"/>
      <c r="AA22" s="1510"/>
      <c r="AB22" s="1510"/>
      <c r="AC22" s="1510"/>
    </row>
    <row r="23" spans="1:29" ht="71.25">
      <c r="A23" s="509"/>
      <c r="B23" s="911"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86"/>
      <c r="Q23" s="1506" t="str">
        <f t="shared" si="8"/>
        <v>环境状况</v>
      </c>
      <c r="R23" s="1507" t="s">
        <v>8</v>
      </c>
      <c r="S23" s="1508">
        <f>F23</f>
        <v>100</v>
      </c>
      <c r="T23" s="1507" t="s">
        <v>8</v>
      </c>
      <c r="U23" s="1508">
        <f>H23</f>
        <v>100</v>
      </c>
      <c r="V23" s="1507" t="s">
        <v>8</v>
      </c>
      <c r="W23" s="1508">
        <f>J23</f>
        <v>100</v>
      </c>
      <c r="X23" s="1501"/>
      <c r="Y23" s="348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86"/>
      <c r="Q24" s="1506"/>
      <c r="R24" s="1507"/>
      <c r="S24" s="1508"/>
      <c r="T24" s="1507"/>
      <c r="U24" s="1508"/>
      <c r="V24" s="1507"/>
      <c r="W24" s="1508"/>
      <c r="X24" s="1501"/>
      <c r="Y24" s="3486"/>
      <c r="Z24" s="1509"/>
      <c r="AA24" s="1510">
        <v>1</v>
      </c>
      <c r="AB24" s="1510">
        <v>1</v>
      </c>
      <c r="AC24" s="1510">
        <v>1</v>
      </c>
    </row>
    <row r="25" spans="1:29" s="1203"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86"/>
      <c r="Q25" s="1134" t="str">
        <f t="shared" si="8"/>
        <v>公共配套设施</v>
      </c>
      <c r="R25" s="1502" t="s">
        <v>8</v>
      </c>
      <c r="S25" s="1503">
        <f>F25</f>
        <v>100</v>
      </c>
      <c r="T25" s="1502" t="s">
        <v>8</v>
      </c>
      <c r="U25" s="1503">
        <f>H25</f>
        <v>100</v>
      </c>
      <c r="V25" s="1502" t="s">
        <v>8</v>
      </c>
      <c r="W25" s="1503">
        <f>J25</f>
        <v>100</v>
      </c>
      <c r="X25" s="1504"/>
      <c r="Y25" s="3486"/>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86"/>
      <c r="Q26" s="1134"/>
      <c r="R26" s="1502"/>
      <c r="S26" s="1503"/>
      <c r="T26" s="1502"/>
      <c r="U26" s="1503"/>
      <c r="V26" s="1502"/>
      <c r="W26" s="1503"/>
      <c r="X26" s="1504"/>
      <c r="Y26" s="3486"/>
      <c r="Z26" s="1133"/>
      <c r="AA26" s="1505">
        <v>1</v>
      </c>
      <c r="AB26" s="1505">
        <v>1</v>
      </c>
      <c r="AC26" s="1505">
        <v>1</v>
      </c>
    </row>
    <row r="27" spans="1:29" s="1203"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86"/>
      <c r="Q27" s="2428" t="str">
        <f t="shared" ref="Q27" si="9">B27</f>
        <v>基础设施水平</v>
      </c>
      <c r="R27" s="1502" t="s">
        <v>8</v>
      </c>
      <c r="S27" s="1503">
        <f>F27</f>
        <v>100</v>
      </c>
      <c r="T27" s="1502" t="s">
        <v>8</v>
      </c>
      <c r="U27" s="1503">
        <f>H27</f>
        <v>100</v>
      </c>
      <c r="V27" s="1502" t="s">
        <v>8</v>
      </c>
      <c r="W27" s="1503">
        <f>J27</f>
        <v>100</v>
      </c>
      <c r="X27" s="1504"/>
      <c r="Y27" s="3486"/>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86"/>
      <c r="Q28" s="2428"/>
      <c r="R28" s="1502"/>
      <c r="S28" s="1503"/>
      <c r="T28" s="1502"/>
      <c r="U28" s="1503"/>
      <c r="V28" s="1502"/>
      <c r="W28" s="1503"/>
      <c r="X28" s="1504"/>
      <c r="Y28" s="3486"/>
      <c r="Z28" s="2427"/>
      <c r="AA28" s="1505">
        <v>1</v>
      </c>
      <c r="AB28" s="1505">
        <v>1</v>
      </c>
      <c r="AC28" s="1505">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8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86"/>
      <c r="Z29" s="1509" t="str">
        <f t="shared" ref="Z29:Z42" si="13">Q29</f>
        <v>临街状况</v>
      </c>
      <c r="AA29" s="1510">
        <f t="shared" si="3"/>
        <v>1</v>
      </c>
      <c r="AB29" s="1510">
        <f t="shared" si="4"/>
        <v>1</v>
      </c>
      <c r="AC29" s="1510">
        <f t="shared" si="5"/>
        <v>1</v>
      </c>
    </row>
    <row r="30" spans="1:29" ht="27">
      <c r="A30" s="526"/>
      <c r="B30" s="911" t="s">
        <v>541</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86"/>
      <c r="Q30" s="1506" t="str">
        <f t="shared" si="8"/>
        <v>毗邻道路的类型与等级</v>
      </c>
      <c r="R30" s="1507" t="s">
        <v>8</v>
      </c>
      <c r="S30" s="1508">
        <f t="shared" si="10"/>
        <v>100</v>
      </c>
      <c r="T30" s="1507" t="s">
        <v>8</v>
      </c>
      <c r="U30" s="1508">
        <f t="shared" si="11"/>
        <v>100</v>
      </c>
      <c r="V30" s="1507" t="s">
        <v>8</v>
      </c>
      <c r="W30" s="1508">
        <f t="shared" si="12"/>
        <v>100</v>
      </c>
      <c r="X30" s="1501"/>
      <c r="Y30" s="348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86"/>
      <c r="Q31" s="1506"/>
      <c r="R31" s="1507"/>
      <c r="S31" s="1508"/>
      <c r="T31" s="1507"/>
      <c r="U31" s="1508"/>
      <c r="V31" s="1507"/>
      <c r="W31" s="1508"/>
      <c r="X31" s="1501"/>
      <c r="Y31" s="3486"/>
      <c r="Z31" s="1509"/>
      <c r="AA31" s="1510">
        <v>1</v>
      </c>
      <c r="AB31" s="1510">
        <v>1</v>
      </c>
      <c r="AC31" s="1510">
        <v>1</v>
      </c>
    </row>
    <row r="32" spans="1:29" ht="15">
      <c r="A32" s="526"/>
      <c r="B32" s="521" t="s">
        <v>542</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86"/>
      <c r="Q32" s="1506" t="str">
        <f t="shared" si="8"/>
        <v>土地级别</v>
      </c>
      <c r="R32" s="1507" t="s">
        <v>8</v>
      </c>
      <c r="S32" s="1508">
        <f t="shared" si="10"/>
        <v>100</v>
      </c>
      <c r="T32" s="1507" t="s">
        <v>8</v>
      </c>
      <c r="U32" s="1508">
        <f t="shared" si="11"/>
        <v>100</v>
      </c>
      <c r="V32" s="1507" t="s">
        <v>8</v>
      </c>
      <c r="W32" s="1508">
        <f t="shared" si="12"/>
        <v>100</v>
      </c>
      <c r="X32" s="1501"/>
      <c r="Y32" s="348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86"/>
      <c r="Q33" s="1506">
        <f t="shared" si="8"/>
        <v>111</v>
      </c>
      <c r="R33" s="1507" t="s">
        <v>8</v>
      </c>
      <c r="S33" s="1508">
        <f t="shared" si="10"/>
        <v>100</v>
      </c>
      <c r="T33" s="1507" t="s">
        <v>8</v>
      </c>
      <c r="U33" s="1508">
        <f t="shared" si="11"/>
        <v>100</v>
      </c>
      <c r="V33" s="1507" t="s">
        <v>8</v>
      </c>
      <c r="W33" s="1508">
        <f t="shared" si="12"/>
        <v>100</v>
      </c>
      <c r="X33" s="1501"/>
      <c r="Y33" s="348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87" t="s">
        <v>543</v>
      </c>
      <c r="Q34" s="1506">
        <f t="shared" si="8"/>
        <v>111</v>
      </c>
      <c r="R34" s="1507" t="s">
        <v>8</v>
      </c>
      <c r="S34" s="1508">
        <f t="shared" si="10"/>
        <v>100</v>
      </c>
      <c r="T34" s="1507" t="s">
        <v>8</v>
      </c>
      <c r="U34" s="1508">
        <f t="shared" si="11"/>
        <v>100</v>
      </c>
      <c r="V34" s="1507" t="s">
        <v>8</v>
      </c>
      <c r="W34" s="1508">
        <f t="shared" si="12"/>
        <v>100</v>
      </c>
      <c r="X34" s="1501"/>
      <c r="Y34" s="3488" t="s">
        <v>543</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88"/>
      <c r="Q35" s="1506">
        <f t="shared" si="8"/>
        <v>111</v>
      </c>
      <c r="R35" s="1511" t="s">
        <v>8</v>
      </c>
      <c r="S35" s="1512">
        <f t="shared" si="10"/>
        <v>100</v>
      </c>
      <c r="T35" s="1511" t="s">
        <v>8</v>
      </c>
      <c r="U35" s="1512">
        <f t="shared" si="11"/>
        <v>100</v>
      </c>
      <c r="V35" s="1511" t="s">
        <v>8</v>
      </c>
      <c r="W35" s="1512">
        <f t="shared" si="12"/>
        <v>100</v>
      </c>
      <c r="X35" s="1513"/>
      <c r="Y35" s="3488"/>
      <c r="Z35" s="1514">
        <f t="shared" si="13"/>
        <v>111</v>
      </c>
      <c r="AA35" s="1510">
        <f t="shared" si="3"/>
        <v>1</v>
      </c>
      <c r="AB35" s="1510">
        <f t="shared" si="4"/>
        <v>1</v>
      </c>
      <c r="AC35" s="1510">
        <f t="shared" si="5"/>
        <v>1</v>
      </c>
    </row>
    <row r="36" spans="1:29" ht="15">
      <c r="A36" s="2624" t="s">
        <v>2734</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88"/>
      <c r="Q36" s="1506" t="str">
        <f>B36</f>
        <v>宗地面积</v>
      </c>
      <c r="R36" s="1507" t="s">
        <v>8</v>
      </c>
      <c r="S36" s="1508" t="e">
        <f t="shared" si="10"/>
        <v>#N/A</v>
      </c>
      <c r="T36" s="1507" t="s">
        <v>8</v>
      </c>
      <c r="U36" s="1508" t="e">
        <f t="shared" si="11"/>
        <v>#N/A</v>
      </c>
      <c r="V36" s="1507" t="s">
        <v>8</v>
      </c>
      <c r="W36" s="1508" t="e">
        <f t="shared" si="12"/>
        <v>#N/A</v>
      </c>
      <c r="X36" s="1501"/>
      <c r="Y36" s="3488"/>
      <c r="Z36" s="1509" t="str">
        <f t="shared" si="13"/>
        <v>宗地面积</v>
      </c>
      <c r="AA36" s="1510" t="e">
        <f t="shared" si="3"/>
        <v>#N/A</v>
      </c>
      <c r="AB36" s="1510" t="e">
        <f t="shared" si="4"/>
        <v>#N/A</v>
      </c>
      <c r="AC36" s="1510"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88"/>
      <c r="Q37" s="1506" t="str">
        <f t="shared" ref="Q37:Q42" si="14">B37</f>
        <v>宗地形状</v>
      </c>
      <c r="R37" s="1507" t="s">
        <v>8</v>
      </c>
      <c r="S37" s="1508">
        <f t="shared" si="10"/>
        <v>100</v>
      </c>
      <c r="T37" s="1507" t="s">
        <v>8</v>
      </c>
      <c r="U37" s="1508">
        <f t="shared" si="11"/>
        <v>100</v>
      </c>
      <c r="V37" s="1507" t="s">
        <v>8</v>
      </c>
      <c r="W37" s="1508">
        <f t="shared" si="12"/>
        <v>100</v>
      </c>
      <c r="X37" s="1501"/>
      <c r="Y37" s="3488"/>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88"/>
      <c r="Q38" s="1506" t="str">
        <f t="shared" si="14"/>
        <v>宗地开发程度</v>
      </c>
      <c r="R38" s="1502" t="s">
        <v>8</v>
      </c>
      <c r="S38" s="1503">
        <f t="shared" si="10"/>
        <v>100</v>
      </c>
      <c r="T38" s="1502" t="s">
        <v>8</v>
      </c>
      <c r="U38" s="1503">
        <f t="shared" si="11"/>
        <v>100</v>
      </c>
      <c r="V38" s="1502" t="s">
        <v>8</v>
      </c>
      <c r="W38" s="1503">
        <f t="shared" si="12"/>
        <v>100</v>
      </c>
      <c r="X38" s="1504"/>
      <c r="Y38" s="3488"/>
      <c r="Z38" s="1133" t="str">
        <f t="shared" si="13"/>
        <v>宗地开发程度</v>
      </c>
      <c r="AA38" s="1505">
        <f t="shared" si="3"/>
        <v>1</v>
      </c>
      <c r="AB38" s="1505">
        <f t="shared" si="4"/>
        <v>1</v>
      </c>
      <c r="AC38" s="1505">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88" t="s">
        <v>594</v>
      </c>
      <c r="Q39" s="1506" t="str">
        <f t="shared" si="14"/>
        <v>工程地质条件</v>
      </c>
      <c r="R39" s="1507" t="s">
        <v>8</v>
      </c>
      <c r="S39" s="1508">
        <f t="shared" si="10"/>
        <v>100</v>
      </c>
      <c r="T39" s="1507" t="s">
        <v>8</v>
      </c>
      <c r="U39" s="1508">
        <f t="shared" si="11"/>
        <v>100</v>
      </c>
      <c r="V39" s="1507" t="s">
        <v>8</v>
      </c>
      <c r="W39" s="1508">
        <f t="shared" si="12"/>
        <v>100</v>
      </c>
      <c r="X39" s="1501"/>
      <c r="Y39" s="3488" t="s">
        <v>594</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88"/>
      <c r="Q40" s="1506">
        <f t="shared" si="14"/>
        <v>111</v>
      </c>
      <c r="R40" s="1507" t="s">
        <v>8</v>
      </c>
      <c r="S40" s="1508">
        <f t="shared" si="10"/>
        <v>100</v>
      </c>
      <c r="T40" s="1507" t="s">
        <v>8</v>
      </c>
      <c r="U40" s="1508">
        <f t="shared" si="11"/>
        <v>100</v>
      </c>
      <c r="V40" s="1507" t="s">
        <v>8</v>
      </c>
      <c r="W40" s="1508">
        <f t="shared" si="12"/>
        <v>100</v>
      </c>
      <c r="X40" s="1501"/>
      <c r="Y40" s="348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88"/>
      <c r="Q41" s="1506">
        <f t="shared" si="14"/>
        <v>111</v>
      </c>
      <c r="R41" s="1507" t="s">
        <v>8</v>
      </c>
      <c r="S41" s="1508">
        <f t="shared" si="10"/>
        <v>100</v>
      </c>
      <c r="T41" s="1507" t="s">
        <v>8</v>
      </c>
      <c r="U41" s="1508">
        <f t="shared" si="11"/>
        <v>100</v>
      </c>
      <c r="V41" s="1507" t="s">
        <v>8</v>
      </c>
      <c r="W41" s="1508">
        <f t="shared" si="12"/>
        <v>100</v>
      </c>
      <c r="X41" s="1501"/>
      <c r="Y41" s="3488"/>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88"/>
      <c r="Q42" s="1506">
        <f t="shared" si="14"/>
        <v>111</v>
      </c>
      <c r="R42" s="1511" t="s">
        <v>8</v>
      </c>
      <c r="S42" s="1512">
        <f t="shared" si="10"/>
        <v>100</v>
      </c>
      <c r="T42" s="1511" t="s">
        <v>8</v>
      </c>
      <c r="U42" s="1512">
        <f t="shared" si="11"/>
        <v>100</v>
      </c>
      <c r="V42" s="1511" t="s">
        <v>8</v>
      </c>
      <c r="W42" s="1512">
        <f t="shared" si="12"/>
        <v>100</v>
      </c>
      <c r="X42" s="1513"/>
      <c r="Y42" s="3488"/>
      <c r="Z42" s="1514">
        <f t="shared" si="13"/>
        <v>111</v>
      </c>
      <c r="AA42" s="1510">
        <f t="shared" si="3"/>
        <v>1</v>
      </c>
      <c r="AB42" s="1510">
        <f t="shared" si="4"/>
        <v>1</v>
      </c>
      <c r="AC42" s="1510">
        <f t="shared" si="5"/>
        <v>1</v>
      </c>
    </row>
    <row r="43" spans="1:29" ht="15">
      <c r="A43" s="601" t="s">
        <v>549</v>
      </c>
      <c r="B43" s="602" t="s">
        <v>2896</v>
      </c>
      <c r="C43" s="603" t="s">
        <v>1</v>
      </c>
      <c r="D43" s="604"/>
      <c r="E43" s="605"/>
      <c r="F43" s="606"/>
      <c r="G43" s="607"/>
      <c r="H43" s="608"/>
      <c r="I43" s="605"/>
      <c r="J43" s="608"/>
      <c r="K43" s="1294"/>
      <c r="L43" s="2026"/>
      <c r="M43" s="2016"/>
      <c r="N43" s="2016"/>
      <c r="O43" s="2027"/>
      <c r="P43" s="3483" t="str">
        <f>A43</f>
        <v>成交单价</v>
      </c>
      <c r="Q43" s="3483"/>
      <c r="R43" s="3497">
        <f>E43</f>
        <v>0</v>
      </c>
      <c r="S43" s="3497"/>
      <c r="T43" s="3497">
        <f>G43</f>
        <v>0</v>
      </c>
      <c r="U43" s="3497"/>
      <c r="V43" s="3497">
        <f>I43</f>
        <v>0</v>
      </c>
      <c r="W43" s="3497"/>
      <c r="X43" s="1496"/>
      <c r="Y43" s="1515"/>
      <c r="Z43" s="1496"/>
      <c r="AA43" s="1496"/>
      <c r="AB43" s="1496"/>
      <c r="AC43" s="1496"/>
    </row>
    <row r="44" spans="1:29" ht="15.75" thickBot="1">
      <c r="A44" s="609" t="s">
        <v>2672</v>
      </c>
      <c r="B44" s="610"/>
      <c r="C44" s="611" t="e">
        <f>R45</f>
        <v>#DIV/0!</v>
      </c>
      <c r="D44" s="3013" t="s">
        <v>2965</v>
      </c>
      <c r="E44" s="611" t="e">
        <f>R44</f>
        <v>#DIV/0!</v>
      </c>
      <c r="F44" s="3014"/>
      <c r="G44" s="612" t="e">
        <f>T44</f>
        <v>#DIV/0!</v>
      </c>
      <c r="H44" s="3014"/>
      <c r="I44" s="611" t="e">
        <f>V44</f>
        <v>#DIV/0!</v>
      </c>
      <c r="J44" s="3014"/>
      <c r="K44" s="3015">
        <f>F44+H44+J44</f>
        <v>0</v>
      </c>
      <c r="L44" s="2026"/>
      <c r="M44" s="2016"/>
      <c r="N44" s="2016"/>
      <c r="O44" s="2027"/>
      <c r="P44" s="3483" t="str">
        <f>A44</f>
        <v>比较价格（元/平方米）</v>
      </c>
      <c r="Q44" s="3483"/>
      <c r="R44" s="3507" t="e">
        <f>ROUND(PRODUCT(R43,AA9:AA42),0)</f>
        <v>#DIV/0!</v>
      </c>
      <c r="S44" s="3507"/>
      <c r="T44" s="3507" t="e">
        <f>ROUND(PRODUCT(T43,AB9:AB42),0)</f>
        <v>#DIV/0!</v>
      </c>
      <c r="U44" s="3507"/>
      <c r="V44" s="3507" t="e">
        <f>ROUND(PRODUCT(V43,AC9:AC42),0)</f>
        <v>#DIV/0!</v>
      </c>
      <c r="W44" s="3507"/>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5"/>
      <c r="L45" s="2026"/>
      <c r="M45" s="2016"/>
      <c r="N45" s="2016"/>
      <c r="O45" s="2027"/>
      <c r="P45" s="3504" t="str">
        <f>A45</f>
        <v>估价对象XX用房的比较价格（楼面单价，元/平方米）</v>
      </c>
      <c r="Q45" s="3505"/>
      <c r="R45" s="3513" t="e">
        <f>ROUND(IF(D44="简单平均",AVERAGE(R44:W44),R44*F44+T44*H44+V44*J44),0)</f>
        <v>#DIV/0!</v>
      </c>
      <c r="S45" s="3513"/>
      <c r="T45" s="3513"/>
      <c r="U45" s="3513"/>
      <c r="V45" s="3513"/>
      <c r="W45" s="3513"/>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3"/>
      <c r="B50" s="3213"/>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553</v>
      </c>
      <c r="B52" s="622" t="s">
        <v>554</v>
      </c>
      <c r="C52" s="1497" t="s">
        <v>1714</v>
      </c>
      <c r="D52" s="2107" t="s">
        <v>2280</v>
      </c>
      <c r="E52" s="623" t="s">
        <v>555</v>
      </c>
      <c r="F52" s="1865" t="s">
        <v>556</v>
      </c>
      <c r="G52" s="3508" t="s">
        <v>2271</v>
      </c>
      <c r="H52" s="3509"/>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557</v>
      </c>
      <c r="B53" s="626" t="e">
        <f>C45</f>
        <v>#DIV/0!</v>
      </c>
      <c r="C53" s="627">
        <v>1</v>
      </c>
      <c r="D53" s="2108">
        <v>1</v>
      </c>
      <c r="E53" s="627">
        <f>'数据-汇总表'!E8+'数据-汇总表'!E9</f>
        <v>37200</v>
      </c>
      <c r="F53" s="1864" t="e">
        <f t="shared" ref="F53:F62" si="15">ROUND(B53*E53/10000,0)</f>
        <v>#DIV/0!</v>
      </c>
      <c r="G53" s="3510"/>
      <c r="H53" s="3511"/>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558</v>
      </c>
      <c r="B54" s="630" t="e">
        <f>ROUND($C$45*C54*D54,0)</f>
        <v>#DIV/0!</v>
      </c>
      <c r="C54" s="372">
        <f t="shared" ref="C54:C62" si="16">IF($C$52="北京市系数",I54,J54)</f>
        <v>0</v>
      </c>
      <c r="D54" s="2109">
        <v>0.25</v>
      </c>
      <c r="E54" s="631"/>
      <c r="F54" s="1864" t="e">
        <f t="shared" si="15"/>
        <v>#DIV/0!</v>
      </c>
      <c r="G54" s="3512" t="s">
        <v>2272</v>
      </c>
      <c r="H54" s="1868">
        <f>项目基本情况!B43</f>
        <v>0</v>
      </c>
      <c r="I54" s="1867">
        <f>SUMIF(修正!$A$45:$A$56,H54,修正!B45:B56)</f>
        <v>0</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559</v>
      </c>
      <c r="B55" s="630" t="e">
        <f t="shared" ref="B55:B62" si="17">ROUND($C$45*C55*D55,0)</f>
        <v>#DIV/0!</v>
      </c>
      <c r="C55" s="372">
        <f t="shared" si="16"/>
        <v>0</v>
      </c>
      <c r="D55" s="2109">
        <v>0.25</v>
      </c>
      <c r="E55" s="631"/>
      <c r="F55" s="1864" t="e">
        <f t="shared" si="15"/>
        <v>#DIV/0!</v>
      </c>
      <c r="G55" s="3512"/>
      <c r="H55" s="1869">
        <f>项目基本情况!B43</f>
        <v>0</v>
      </c>
      <c r="I55" s="1867">
        <f>SUMIF(修正!$A$45:$A$56,H55,修正!C45:C56)</f>
        <v>0</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560</v>
      </c>
      <c r="B56" s="630" t="e">
        <f t="shared" si="17"/>
        <v>#DIV/0!</v>
      </c>
      <c r="C56" s="372">
        <f t="shared" si="16"/>
        <v>0</v>
      </c>
      <c r="D56" s="2109">
        <v>0.25</v>
      </c>
      <c r="E56" s="631"/>
      <c r="F56" s="1864" t="e">
        <f t="shared" si="15"/>
        <v>#DIV/0!</v>
      </c>
      <c r="G56" s="3512"/>
      <c r="H56" s="1869">
        <f>项目基本情况!B43</f>
        <v>0</v>
      </c>
      <c r="I56" s="1867">
        <f>SUMIF(修正!$A$45:$A$56,H56,修正!D45:D56)</f>
        <v>0</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561</v>
      </c>
      <c r="B57" s="630" t="e">
        <f t="shared" si="17"/>
        <v>#DIV/0!</v>
      </c>
      <c r="C57" s="372">
        <f t="shared" si="16"/>
        <v>0</v>
      </c>
      <c r="D57" s="2109">
        <v>0.25</v>
      </c>
      <c r="E57" s="631"/>
      <c r="F57" s="1864" t="e">
        <f t="shared" si="15"/>
        <v>#DIV/0!</v>
      </c>
      <c r="G57" s="3512"/>
      <c r="H57" s="1869">
        <f>项目基本情况!B43</f>
        <v>0</v>
      </c>
      <c r="I57" s="1867">
        <f>SUMIF(修正!$A$45:$A$56,H57,修正!E45:E56)</f>
        <v>0</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562</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563</v>
      </c>
      <c r="B60" s="630" t="e">
        <f t="shared" si="17"/>
        <v>#DIV/0!</v>
      </c>
      <c r="C60" s="372">
        <f t="shared" si="16"/>
        <v>0</v>
      </c>
      <c r="D60" s="2109">
        <v>0.25</v>
      </c>
      <c r="E60" s="633">
        <f>'数据-汇总表'!E13</f>
        <v>31000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564</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565</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566</v>
      </c>
      <c r="B63" s="635" t="s">
        <v>17</v>
      </c>
      <c r="C63" s="635" t="s">
        <v>18</v>
      </c>
      <c r="D63" s="635" t="s">
        <v>2281</v>
      </c>
      <c r="E63" s="635">
        <f>IF(B43="楼面地价",SUM(E53:E62),'数据-汇总表'!D3)</f>
        <v>17997.97</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2021-9-1</v>
      </c>
      <c r="D65" s="2516">
        <f>EDATE(C65,-3)</f>
        <v>44348</v>
      </c>
      <c r="E65" s="2516">
        <f t="shared" ref="E65:N65" si="18">EDATE(D65,-3)</f>
        <v>44256</v>
      </c>
      <c r="F65" s="2516">
        <f t="shared" si="18"/>
        <v>44166</v>
      </c>
      <c r="G65" s="2516">
        <f t="shared" si="18"/>
        <v>44075</v>
      </c>
      <c r="H65" s="2516">
        <f t="shared" si="18"/>
        <v>43983</v>
      </c>
      <c r="I65" s="2516">
        <f t="shared" si="18"/>
        <v>43891</v>
      </c>
      <c r="J65" s="2516">
        <f t="shared" si="18"/>
        <v>43800</v>
      </c>
      <c r="K65" s="2516">
        <f t="shared" si="18"/>
        <v>43709</v>
      </c>
      <c r="L65" s="2516">
        <f t="shared" si="18"/>
        <v>43617</v>
      </c>
      <c r="M65" s="2516">
        <f t="shared" si="18"/>
        <v>43525</v>
      </c>
      <c r="N65" s="2516">
        <f t="shared" si="18"/>
        <v>43435</v>
      </c>
      <c r="O65" s="2027"/>
      <c r="P65" s="2027"/>
      <c r="Q65" s="2027"/>
      <c r="R65" s="2027"/>
      <c r="S65" s="2027"/>
      <c r="T65" s="2027"/>
      <c r="U65" s="2027"/>
      <c r="V65" s="2027"/>
      <c r="W65" s="2027"/>
      <c r="X65" s="2027"/>
      <c r="Y65" s="2027"/>
      <c r="Z65" s="2027"/>
      <c r="AA65" s="2027"/>
      <c r="AB65" s="2027"/>
      <c r="AC65" s="2027"/>
    </row>
    <row r="66" spans="1:29" ht="21.75" thickBot="1">
      <c r="A66" s="1518" t="s">
        <v>567</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2513</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2628</v>
      </c>
      <c r="B68" s="473" t="str">
        <f>"北京市平均增长率"&amp;TEXT(基准地价!P24,"0.00%")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568</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524</v>
      </c>
      <c r="B70" s="640"/>
      <c r="C70" s="652" t="s">
        <v>569</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570</v>
      </c>
      <c r="B72" s="657" t="s">
        <v>527</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530</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532</v>
      </c>
      <c r="B85" s="657" t="s">
        <v>595</v>
      </c>
      <c r="C85" s="695" t="s">
        <v>572</v>
      </c>
      <c r="D85" s="695" t="s">
        <v>573</v>
      </c>
      <c r="E85" s="695" t="s">
        <v>574</v>
      </c>
      <c r="F85" s="695" t="s">
        <v>575</v>
      </c>
      <c r="G85" s="695" t="s">
        <v>576</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579</v>
      </c>
      <c r="C87" s="700" t="s">
        <v>572</v>
      </c>
      <c r="D87" s="700" t="s">
        <v>573</v>
      </c>
      <c r="E87" s="700" t="s">
        <v>574</v>
      </c>
      <c r="F87" s="700" t="s">
        <v>575</v>
      </c>
      <c r="G87" s="700" t="s">
        <v>576</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580</v>
      </c>
      <c r="C89" s="700" t="s">
        <v>572</v>
      </c>
      <c r="D89" s="700" t="s">
        <v>573</v>
      </c>
      <c r="E89" s="700" t="s">
        <v>574</v>
      </c>
      <c r="F89" s="700" t="s">
        <v>575</v>
      </c>
      <c r="G89" s="700" t="s">
        <v>576</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581</v>
      </c>
      <c r="C91" s="695" t="s">
        <v>572</v>
      </c>
      <c r="D91" s="695" t="s">
        <v>573</v>
      </c>
      <c r="E91" s="695" t="s">
        <v>574</v>
      </c>
      <c r="F91" s="695" t="s">
        <v>575</v>
      </c>
      <c r="G91" s="695" t="s">
        <v>576</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2528</v>
      </c>
      <c r="C93" s="695" t="s">
        <v>572</v>
      </c>
      <c r="D93" s="695" t="s">
        <v>573</v>
      </c>
      <c r="E93" s="695" t="s">
        <v>574</v>
      </c>
      <c r="F93" s="695" t="s">
        <v>575</v>
      </c>
      <c r="G93" s="695" t="s">
        <v>576</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2530</v>
      </c>
      <c r="C95" s="2442" t="s">
        <v>2531</v>
      </c>
      <c r="D95" s="2442" t="s">
        <v>2532</v>
      </c>
      <c r="E95" s="2442" t="s">
        <v>2533</v>
      </c>
      <c r="F95" s="2442" t="s">
        <v>2534</v>
      </c>
      <c r="G95" s="2442" t="s">
        <v>2535</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582</v>
      </c>
      <c r="D97" s="666" t="s">
        <v>583</v>
      </c>
      <c r="E97" s="666" t="s">
        <v>584</v>
      </c>
      <c r="F97" s="666" t="s">
        <v>585</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541</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542</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587</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589</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5"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9" t="s">
        <v>2227</v>
      </c>
      <c r="M2" s="1800">
        <f>SUMPRODUCT((区片价!B10:B28=I2)*(区片价!C3:F3=E2)*(区片价!C10:F28))</f>
        <v>0</v>
      </c>
      <c r="N2" s="1801">
        <f>SUMPRODUCT((因素修正幅度!B10:B28=I2)*(因素修正幅度!C3:F3=E2)*(因素修正幅度!C10:F28))</f>
        <v>0</v>
      </c>
      <c r="O2" s="3230"/>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0"/>
      <c r="L3" s="1799" t="s">
        <v>2228</v>
      </c>
      <c r="M3" s="1800">
        <f>SUMPRODUCT((区片价!B29:B48=I2)*(区片价!C3:F3=E2)*(区片价!C29:F48))</f>
        <v>0</v>
      </c>
      <c r="N3" s="1801">
        <f>SUMPRODUCT((因素修正幅度!B29:B48=I2)*(因素修正幅度!C3:F3=E2)*(因素修正幅度!C29:F48))</f>
        <v>0</v>
      </c>
      <c r="O3" s="3230"/>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2" t="e">
        <f>ROUND(C6+C16,0)</f>
        <v>#DIV/0!</v>
      </c>
      <c r="E5" s="2792"/>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21" t="str">
        <f>IF(E2="商业",IF(C8="不临58条商业街","",2),"")</f>
        <v/>
      </c>
      <c r="B7" s="1375" t="s">
        <v>922</v>
      </c>
      <c r="C7" s="1030" t="e">
        <f>IF(C8="不临58条商业街",1,ROUND(1+(1.6*E8+1.2*E9+0.8*E10+0.4*E11)*C9,4))</f>
        <v>#DIV/0!</v>
      </c>
      <c r="D7" s="1376" t="s">
        <v>923</v>
      </c>
      <c r="E7" s="1031"/>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2743</v>
      </c>
      <c r="X7" s="2644">
        <f>G2</f>
        <v>0</v>
      </c>
      <c r="Y7" s="2644" t="s">
        <v>2744</v>
      </c>
      <c r="Z7" s="2645">
        <f>G3</f>
        <v>0</v>
      </c>
      <c r="AA7" s="2073"/>
      <c r="AB7" s="2073"/>
      <c r="AC7" s="2074"/>
      <c r="AD7" s="2646"/>
      <c r="AE7" s="2646"/>
      <c r="AF7" s="2646"/>
      <c r="AG7" s="2646"/>
      <c r="AH7" s="2646"/>
      <c r="AI7" s="2646"/>
      <c r="AJ7" s="2647"/>
    </row>
    <row r="8" spans="1:39" ht="15">
      <c r="A8" s="3522"/>
      <c r="B8" s="1362" t="s">
        <v>924</v>
      </c>
      <c r="C8" s="1468"/>
      <c r="D8" s="1032" t="s">
        <v>925</v>
      </c>
      <c r="E8" s="1033" t="e">
        <f>ROUND(C11/E7,4)</f>
        <v>#DIV/0!</v>
      </c>
      <c r="F8" s="1380" t="s">
        <v>926</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4">
        <v>7</v>
      </c>
      <c r="S8" s="2643"/>
      <c r="T8" s="2654" t="e">
        <f t="shared" si="0"/>
        <v>#DIV/0!</v>
      </c>
      <c r="U8" s="2643"/>
      <c r="V8" s="2654" t="e">
        <f t="shared" si="1"/>
        <v>#DIV/0!</v>
      </c>
      <c r="W8" s="3532" t="s">
        <v>2761</v>
      </c>
      <c r="X8" s="3533"/>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22"/>
      <c r="B9" s="1362" t="s">
        <v>927</v>
      </c>
      <c r="C9" s="1034">
        <f>SUMIF(修正!C59:C119,C8,修正!E59:E119)</f>
        <v>0</v>
      </c>
      <c r="D9" s="1035" t="s">
        <v>928</v>
      </c>
      <c r="E9" s="1035" t="e">
        <f>ROUND(C11/E7,4)</f>
        <v>#DIV/0!</v>
      </c>
      <c r="F9" s="1380" t="s">
        <v>929</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4">
        <v>8</v>
      </c>
      <c r="S9" s="2643"/>
      <c r="T9" s="2654" t="e">
        <f t="shared" si="0"/>
        <v>#DIV/0!</v>
      </c>
      <c r="U9" s="2643"/>
      <c r="V9" s="2654" t="e">
        <f t="shared" si="1"/>
        <v>#DIV/0!</v>
      </c>
      <c r="W9" s="3531" t="s">
        <v>2757</v>
      </c>
      <c r="X9" s="2648" t="s">
        <v>2758</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2"/>
      <c r="B10" s="1362" t="s">
        <v>930</v>
      </c>
      <c r="C10" s="1035">
        <f>SUMIF(修正!C59:C119,C8,修正!F59:F119)</f>
        <v>0</v>
      </c>
      <c r="D10" s="1035" t="s">
        <v>931</v>
      </c>
      <c r="E10" s="1035" t="e">
        <f>ROUND(C11/E7,4)</f>
        <v>#DIV/0!</v>
      </c>
      <c r="F10" s="1380" t="s">
        <v>932</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t="e">
        <f t="shared" si="0"/>
        <v>#DIV/0!</v>
      </c>
      <c r="U10" s="2643"/>
      <c r="V10" s="2654" t="e">
        <f t="shared" si="1"/>
        <v>#DIV/0!</v>
      </c>
      <c r="W10" s="353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2"/>
      <c r="B11" s="1383" t="s">
        <v>933</v>
      </c>
      <c r="C11" s="1036">
        <f>C10/4</f>
        <v>0</v>
      </c>
      <c r="D11" s="1036" t="s">
        <v>934</v>
      </c>
      <c r="E11" s="1036" t="e">
        <f>ROUND(C11/E7,4)</f>
        <v>#DIV/0!</v>
      </c>
      <c r="F11" s="1384" t="s">
        <v>935</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t="e">
        <f t="shared" si="0"/>
        <v>#DIV/0!</v>
      </c>
      <c r="U11" s="2643"/>
      <c r="V11" s="2654" t="e">
        <f t="shared" si="1"/>
        <v>#DIV/0!</v>
      </c>
      <c r="W11" s="3531" t="s">
        <v>2759</v>
      </c>
      <c r="X11" s="1035"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21" t="s">
        <v>1861</v>
      </c>
      <c r="B12" s="1387" t="s">
        <v>936</v>
      </c>
      <c r="C12" s="1030">
        <f>ROUND(C15*D15*E15*F15*G15*H15*I15*J15,4)</f>
        <v>1</v>
      </c>
      <c r="D12" s="1388" t="s">
        <v>937</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t="e">
        <f t="shared" si="0"/>
        <v>#DIV/0!</v>
      </c>
      <c r="U12" s="2643"/>
      <c r="V12" s="2654" t="e">
        <f t="shared" si="1"/>
        <v>#DIV/0!</v>
      </c>
      <c r="W12" s="3531"/>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3"/>
      <c r="B13" s="1392" t="s">
        <v>1686</v>
      </c>
      <c r="C13" s="1393" t="s">
        <v>1687</v>
      </c>
      <c r="D13" s="1072" t="s">
        <v>1688</v>
      </c>
      <c r="E13" s="1072" t="s">
        <v>1689</v>
      </c>
      <c r="F13" s="1394" t="s">
        <v>938</v>
      </c>
      <c r="G13" s="1395" t="s">
        <v>1632</v>
      </c>
      <c r="H13" s="1396" t="s">
        <v>1632</v>
      </c>
      <c r="I13" s="1397" t="s">
        <v>1632</v>
      </c>
      <c r="J13" s="1398" t="s">
        <v>1632</v>
      </c>
      <c r="K13" s="2842"/>
      <c r="L13" s="2842"/>
      <c r="M13" s="2842"/>
      <c r="N13" s="2842"/>
      <c r="O13" s="2842"/>
      <c r="P13" s="2070"/>
      <c r="Q13" s="2070"/>
      <c r="R13" s="2654">
        <v>12</v>
      </c>
      <c r="S13" s="2643"/>
      <c r="T13" s="2654" t="e">
        <f t="shared" si="0"/>
        <v>#DIV/0!</v>
      </c>
      <c r="U13" s="2643"/>
      <c r="V13" s="2654" t="e">
        <f t="shared" si="1"/>
        <v>#DIV/0!</v>
      </c>
      <c r="W13" s="3531"/>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23"/>
      <c r="B14" s="1399"/>
      <c r="C14" s="1400"/>
      <c r="D14" s="1401"/>
      <c r="E14" s="1401"/>
      <c r="F14" s="1402"/>
      <c r="G14" s="1403" t="s">
        <v>939</v>
      </c>
      <c r="H14" s="1404"/>
      <c r="I14" s="1405"/>
      <c r="J14" s="1406"/>
      <c r="K14" s="3234"/>
      <c r="L14" s="3234"/>
      <c r="M14" s="3234"/>
      <c r="N14" s="3234"/>
      <c r="O14" s="3234"/>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24"/>
      <c r="B15" s="2847" t="s">
        <v>1690</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21" t="s">
        <v>1828</v>
      </c>
      <c r="B16" s="1375" t="s">
        <v>940</v>
      </c>
      <c r="C16" s="1039" t="e">
        <f>ROUND(IF(F17="与级别开发程度一致",0,(G17-E17)/C17),0)</f>
        <v>#DIV/0!</v>
      </c>
      <c r="D16" s="3539" t="s">
        <v>944</v>
      </c>
      <c r="E16" s="3540"/>
      <c r="F16" s="3539" t="s">
        <v>941</v>
      </c>
      <c r="G16" s="3540"/>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25"/>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8" t="s">
        <v>945</v>
      </c>
      <c r="C18" s="2849">
        <f>SUMIF(修正!C18:C39,E3,修正!E18:E39)</f>
        <v>0</v>
      </c>
      <c r="D18" s="2850"/>
      <c r="E18" s="2851"/>
      <c r="F18" s="2834"/>
      <c r="G18" s="2833"/>
      <c r="H18" s="2833"/>
      <c r="I18" s="2833"/>
      <c r="J18" s="2841"/>
      <c r="K18" s="3232"/>
      <c r="L18" s="2833"/>
      <c r="M18" s="2833"/>
      <c r="N18" s="2833"/>
      <c r="O18" s="2833"/>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ROUND(IF(H19="按公示增长率计算",SUMPRODUCT((地价!A3:A35=YEAR(G19)&amp;"-"&amp;ROUNDUP(MONTH(G19)/3,0))*(地价!X2:AB2=E2)*(地价!X3:AB35)),IF(H19="地价指数",M20/M19,(1+I19)^O19)),4)</f>
        <v>0</v>
      </c>
      <c r="D19" s="1414" t="s">
        <v>947</v>
      </c>
      <c r="E19" s="1041">
        <v>41640</v>
      </c>
      <c r="F19" s="1414" t="s">
        <v>948</v>
      </c>
      <c r="G19" s="1042">
        <f>'数据-取费表'!B2</f>
        <v>44448</v>
      </c>
      <c r="H19" s="1415" t="s">
        <v>2949</v>
      </c>
      <c r="I19" s="2503" t="str">
        <f>IF(H19="季度增幅（自定义）",SUMIF(N21:N24,E2,O21:O24),"")</f>
        <v/>
      </c>
      <c r="J19" s="1411"/>
      <c r="K19" s="3232"/>
      <c r="L19" s="2752" t="s">
        <v>2819</v>
      </c>
      <c r="M19" s="2753">
        <f>ROUND(SUMIF(地价!B2:F2,E2,地价!B35:F35),0)</f>
        <v>0</v>
      </c>
      <c r="N19" s="2505" t="s">
        <v>1666</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2">
        <f>存贷款利率!E18/100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3"/>
      <c r="L20" s="2754" t="s">
        <v>2820</v>
      </c>
      <c r="M20" s="2836">
        <f>ROUND(SUMPRODUCT((地价!A4:A35=YEAR(G19)&amp;"-"&amp;ROUNDUP(MONTH(G19)/3,0))*(地价!B2:F2=E2)*(地价!B4:F35)),0)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1" t="b">
        <f>IF(B21="容积率修正",IF(G3&lt;=10,D22,J22),C23)</f>
        <v>0</v>
      </c>
      <c r="D21" s="1421"/>
      <c r="E21" s="1421"/>
      <c r="F21" s="1421"/>
      <c r="G21" s="1421"/>
      <c r="H21" s="1421"/>
      <c r="I21" s="1421"/>
      <c r="J21" s="1422"/>
      <c r="K21" s="3232"/>
      <c r="L21" s="1421"/>
      <c r="M21" s="1421"/>
      <c r="N21" s="1418" t="s">
        <v>965</v>
      </c>
      <c r="O21" s="1481"/>
      <c r="P21" s="2495">
        <f>SUMPRODUCT((地价!A3:A35=YEAR(G19)&amp;"-"&amp;ROUNDUP(MONTH(G19)/3,0))*(地价!AD2:AH2=N21)*(地价!AD3:AH35))</f>
        <v>1.0699999999999999E-2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38"/>
      <c r="L22" s="1421"/>
      <c r="M22" s="1421"/>
      <c r="N22" s="1418" t="s">
        <v>968</v>
      </c>
      <c r="O22" s="1481"/>
      <c r="P22" s="2495">
        <f>SUMPRODUCT((地价!A3:A35=YEAR(G19)&amp;"-"&amp;ROUNDUP(MONTH(G19)/3,0))*(地价!AD2:AH2=N22)*(地价!AD3:AH35))</f>
        <v>1.0699999999999999E-2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5">
        <f>SUMPRODUCT((地价!A3:A35=YEAR(G19)&amp;"-"&amp;ROUNDUP(MONTH(G19)/3,0))*(地价!AD2:AH2=N23)*(地价!AD3:AH35))</f>
        <v>1.8700000000000001E-2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39"/>
      <c r="L24" s="1421"/>
      <c r="M24" s="1421"/>
      <c r="N24" s="1418" t="s">
        <v>971</v>
      </c>
      <c r="O24" s="2835"/>
      <c r="P24" s="2495">
        <f>SUMPRODUCT((地价!A3:A35=YEAR(G19)&amp;"-"&amp;ROUNDUP(MONTH(G19)/3,0))*(地价!AD2:AH2=N24)*(地价!AD3:AH35))</f>
        <v>1.24E-2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6"/>
      <c r="M25" s="2076"/>
      <c r="N25" s="2837" t="s">
        <v>2627</v>
      </c>
      <c r="O25" s="2838"/>
      <c r="P25" s="2302">
        <f>SUMPRODUCT((地价!A3:A35=YEAR(G19)&amp;"-"&amp;ROUNDUP(MONTH(G19)/3,0))*(地价!AD2:AH2=N25)*(地价!AD3:AH35))</f>
        <v>1.7000000000000001E-2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6"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3"/>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3"/>
      <c r="L28" s="1409" t="s">
        <v>963</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28"/>
      <c r="B33" s="1463" t="s">
        <v>989</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28" t="s">
        <v>2988</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29"/>
      <c r="B34" s="1393" t="s">
        <v>990</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29"/>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29"/>
      <c r="B35" s="1393" t="s">
        <v>991</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29"/>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0"/>
      <c r="B36" s="1393" t="s">
        <v>992</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30"/>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2943</v>
      </c>
      <c r="C41" s="828" t="e">
        <f>ROUND(POWER(1+E41,H41-G41)*(POWER(1+E41,G41)-1)/(POWER(1+E41,H41)-1),4)</f>
        <v>#DIV/0!</v>
      </c>
      <c r="D41" s="372" t="s">
        <v>2941</v>
      </c>
      <c r="E41" s="2831">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1010</v>
      </c>
      <c r="B47" s="2266" t="str">
        <f>估价对象房地状况!C16</f>
        <v>一般</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1011</v>
      </c>
      <c r="B48" s="2263" t="str">
        <f>估价对象房地状况!C18</f>
        <v>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4" t="s">
        <v>2899</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3" t="s">
        <v>2898</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较好</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七通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较好</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1020</v>
      </c>
      <c r="B58" s="2266" t="str">
        <f>估价对象房地状况!C17</f>
        <v>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1011</v>
      </c>
      <c r="B59" s="2263" t="str">
        <f>估价对象房地状况!C18</f>
        <v>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4" t="s">
        <v>2900</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3" t="s">
        <v>2898</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较好</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七通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较好</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1022</v>
      </c>
      <c r="B69" s="2266">
        <f>估价对象房地状况!C15</f>
        <v>0</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1023</v>
      </c>
      <c r="B70" s="2263" t="str">
        <f>估价对象房地状况!C18</f>
        <v>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较好</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七通</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3" t="s">
        <v>2898</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较好</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3" t="s">
        <v>2898</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26" t="s">
        <v>1623</v>
      </c>
      <c r="B90" s="3526"/>
      <c r="C90" s="3526"/>
      <c r="D90" s="3526"/>
      <c r="E90" s="3526"/>
      <c r="F90" s="3526"/>
      <c r="G90" s="3526"/>
      <c r="H90" s="3526"/>
      <c r="I90" s="3526"/>
      <c r="J90" s="3526"/>
      <c r="K90" s="2305"/>
      <c r="L90" s="2305"/>
      <c r="M90" s="2305"/>
      <c r="N90" s="2305"/>
    </row>
    <row r="91" spans="1:40">
      <c r="A91" s="3527" t="s">
        <v>1433</v>
      </c>
      <c r="B91" s="3527" t="s">
        <v>1624</v>
      </c>
      <c r="C91" s="1123" t="s">
        <v>1625</v>
      </c>
      <c r="D91" s="1124"/>
      <c r="E91" s="1124"/>
      <c r="F91" s="1124"/>
      <c r="G91" s="1124"/>
      <c r="H91" s="1124"/>
      <c r="I91" s="1124"/>
      <c r="J91" s="1125"/>
      <c r="K91" s="1117"/>
      <c r="L91" s="1117"/>
      <c r="M91" s="1117"/>
      <c r="N91" s="1117"/>
    </row>
    <row r="92" spans="1:40">
      <c r="A92" s="3527"/>
      <c r="B92" s="352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34"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5"/>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4"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35"/>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35"/>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35"/>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35"/>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35"/>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35"/>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35"/>
      <c r="B108" s="3537"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6"/>
      <c r="B109" s="3538"/>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20" t="s">
        <v>1629</v>
      </c>
      <c r="B110" s="3520"/>
      <c r="C110" s="3520"/>
      <c r="D110" s="3520"/>
      <c r="E110" s="3520"/>
      <c r="F110" s="3520"/>
      <c r="G110" s="3520"/>
      <c r="H110" s="3520"/>
      <c r="I110" s="3520"/>
      <c r="J110" s="3520"/>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4" t="s">
        <v>2946</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27" t="s">
        <v>997</v>
      </c>
      <c r="B18" s="1137" t="s">
        <v>1436</v>
      </c>
      <c r="C18" s="1114" t="s">
        <v>1437</v>
      </c>
      <c r="D18" s="1115"/>
      <c r="E18" s="1137">
        <v>1</v>
      </c>
      <c r="F18" s="1116" t="s">
        <v>1438</v>
      </c>
      <c r="G18" s="1117"/>
      <c r="H18" s="1088"/>
      <c r="I18" s="1088"/>
    </row>
    <row r="19" spans="1:9" s="1529" customFormat="1" ht="19.5" customHeight="1">
      <c r="A19" s="3527"/>
      <c r="B19" s="3527" t="s">
        <v>1439</v>
      </c>
      <c r="C19" s="1114" t="s">
        <v>1440</v>
      </c>
      <c r="D19" s="1115"/>
      <c r="E19" s="1137">
        <v>0.9</v>
      </c>
      <c r="F19" s="1116" t="s">
        <v>1441</v>
      </c>
      <c r="G19" s="1117"/>
      <c r="H19" s="1088"/>
      <c r="I19" s="1088"/>
    </row>
    <row r="20" spans="1:9" s="1529" customFormat="1" ht="19.5" customHeight="1">
      <c r="A20" s="3527"/>
      <c r="B20" s="3527"/>
      <c r="C20" s="1114" t="s">
        <v>1442</v>
      </c>
      <c r="D20" s="1115"/>
      <c r="E20" s="1137">
        <v>1.1000000000000001</v>
      </c>
      <c r="F20" s="1116" t="s">
        <v>1443</v>
      </c>
      <c r="G20" s="1117"/>
      <c r="H20" s="1088"/>
      <c r="I20" s="1088"/>
    </row>
    <row r="21" spans="1:9" s="1529" customFormat="1" ht="19.5" customHeight="1">
      <c r="A21" s="3527"/>
      <c r="B21" s="3527"/>
      <c r="C21" s="1114" t="s">
        <v>1444</v>
      </c>
      <c r="D21" s="1115"/>
      <c r="E21" s="1137">
        <v>0.8</v>
      </c>
      <c r="F21" s="1116" t="s">
        <v>1445</v>
      </c>
      <c r="G21" s="1117"/>
      <c r="H21" s="1088"/>
      <c r="I21" s="1088"/>
    </row>
    <row r="22" spans="1:9" s="1529" customFormat="1" ht="19.5" customHeight="1">
      <c r="A22" s="3527"/>
      <c r="B22" s="3527"/>
      <c r="C22" s="1114" t="s">
        <v>1446</v>
      </c>
      <c r="D22" s="1115"/>
      <c r="E22" s="1137">
        <v>0.5</v>
      </c>
      <c r="F22" s="1116"/>
      <c r="G22" s="1117"/>
      <c r="H22" s="1088"/>
      <c r="I22" s="1088"/>
    </row>
    <row r="23" spans="1:9" s="1529" customFormat="1" ht="19.5" customHeight="1">
      <c r="A23" s="3527" t="s">
        <v>1019</v>
      </c>
      <c r="B23" s="1137" t="s">
        <v>1436</v>
      </c>
      <c r="C23" s="1114" t="s">
        <v>1447</v>
      </c>
      <c r="D23" s="1115"/>
      <c r="E23" s="1137">
        <v>1</v>
      </c>
      <c r="F23" s="1116" t="s">
        <v>1448</v>
      </c>
      <c r="G23" s="1117"/>
      <c r="H23" s="1088"/>
      <c r="I23" s="1088"/>
    </row>
    <row r="24" spans="1:9" s="1529" customFormat="1" ht="19.5" customHeight="1">
      <c r="A24" s="3527"/>
      <c r="B24" s="3527" t="s">
        <v>1439</v>
      </c>
      <c r="C24" s="1114" t="s">
        <v>1449</v>
      </c>
      <c r="D24" s="1115"/>
      <c r="E24" s="1137">
        <v>0.5</v>
      </c>
      <c r="F24" s="1116"/>
      <c r="G24" s="1117"/>
      <c r="H24" s="1088"/>
      <c r="I24" s="1088"/>
    </row>
    <row r="25" spans="1:9" s="1529" customFormat="1" ht="19.5" customHeight="1">
      <c r="A25" s="3527"/>
      <c r="B25" s="3527"/>
      <c r="C25" s="1114" t="s">
        <v>1450</v>
      </c>
      <c r="D25" s="1115"/>
      <c r="E25" s="1137">
        <v>1.1000000000000001</v>
      </c>
      <c r="F25" s="1116"/>
      <c r="G25" s="1117"/>
      <c r="H25" s="1088"/>
      <c r="I25" s="1088"/>
    </row>
    <row r="26" spans="1:9" s="1529" customFormat="1" ht="19.5" customHeight="1">
      <c r="A26" s="3527"/>
      <c r="B26" s="3527"/>
      <c r="C26" s="1114" t="s">
        <v>1451</v>
      </c>
      <c r="D26" s="1115"/>
      <c r="E26" s="1137">
        <v>1.1000000000000001</v>
      </c>
      <c r="F26" s="1116"/>
      <c r="G26" s="1117"/>
      <c r="H26" s="1088"/>
      <c r="I26" s="1088"/>
    </row>
    <row r="27" spans="1:9" s="1529" customFormat="1" ht="19.5" customHeight="1">
      <c r="A27" s="3527"/>
      <c r="B27" s="3527"/>
      <c r="C27" s="1114" t="s">
        <v>1452</v>
      </c>
      <c r="D27" s="1115"/>
      <c r="E27" s="1137">
        <v>0.9</v>
      </c>
      <c r="F27" s="1116" t="s">
        <v>1453</v>
      </c>
      <c r="G27" s="1117"/>
      <c r="H27" s="1088"/>
      <c r="I27" s="1088"/>
    </row>
    <row r="28" spans="1:9" s="1529" customFormat="1" ht="19.5" customHeight="1">
      <c r="A28" s="3527"/>
      <c r="B28" s="3527"/>
      <c r="C28" s="1114" t="s">
        <v>1454</v>
      </c>
      <c r="D28" s="1115"/>
      <c r="E28" s="1137">
        <v>0.9</v>
      </c>
      <c r="F28" s="1116" t="s">
        <v>1455</v>
      </c>
      <c r="G28" s="1117"/>
      <c r="H28" s="1088"/>
      <c r="I28" s="1088"/>
    </row>
    <row r="29" spans="1:9" s="1529" customFormat="1" ht="19.5" customHeight="1">
      <c r="A29" s="3527"/>
      <c r="B29" s="3527"/>
      <c r="C29" s="1114" t="s">
        <v>1456</v>
      </c>
      <c r="D29" s="1115"/>
      <c r="E29" s="1137">
        <v>0.9</v>
      </c>
      <c r="F29" s="1116" t="s">
        <v>1457</v>
      </c>
      <c r="G29" s="1117"/>
      <c r="H29" s="1088"/>
      <c r="I29" s="1088"/>
    </row>
    <row r="30" spans="1:9" s="1529" customFormat="1" ht="19.5" customHeight="1">
      <c r="A30" s="3527"/>
      <c r="B30" s="3527"/>
      <c r="C30" s="1114" t="s">
        <v>1458</v>
      </c>
      <c r="D30" s="1115"/>
      <c r="E30" s="1137">
        <v>0.9</v>
      </c>
      <c r="F30" s="1116" t="s">
        <v>1459</v>
      </c>
      <c r="G30" s="1117"/>
      <c r="H30" s="1088"/>
      <c r="I30" s="1088"/>
    </row>
    <row r="31" spans="1:9" s="1529" customFormat="1" ht="19.5" customHeight="1">
      <c r="A31" s="3527"/>
      <c r="B31" s="3527"/>
      <c r="C31" s="1114" t="s">
        <v>1460</v>
      </c>
      <c r="D31" s="1115"/>
      <c r="E31" s="1137">
        <v>0.8</v>
      </c>
      <c r="F31" s="1116" t="s">
        <v>1461</v>
      </c>
      <c r="G31" s="1117"/>
      <c r="H31" s="1088"/>
      <c r="I31" s="1088"/>
    </row>
    <row r="32" spans="1:9" s="1529" customFormat="1" ht="19.5" customHeight="1">
      <c r="A32" s="3527"/>
      <c r="B32" s="3527"/>
      <c r="C32" s="1114" t="s">
        <v>1462</v>
      </c>
      <c r="D32" s="1115"/>
      <c r="E32" s="1137">
        <v>0.8</v>
      </c>
      <c r="F32" s="1116" t="s">
        <v>1463</v>
      </c>
      <c r="G32" s="1117"/>
      <c r="H32" s="1088"/>
      <c r="I32" s="1088"/>
    </row>
    <row r="33" spans="1:9" s="1529" customFormat="1" ht="19.5" customHeight="1">
      <c r="A33" s="3527" t="s">
        <v>1464</v>
      </c>
      <c r="B33" s="1137" t="s">
        <v>1436</v>
      </c>
      <c r="C33" s="1114" t="s">
        <v>1465</v>
      </c>
      <c r="D33" s="1115"/>
      <c r="E33" s="1137">
        <v>1</v>
      </c>
      <c r="F33" s="1116" t="s">
        <v>1466</v>
      </c>
      <c r="G33" s="1117"/>
      <c r="H33" s="1088"/>
      <c r="I33" s="1088"/>
    </row>
    <row r="34" spans="1:9" s="1529" customFormat="1" ht="19.5" customHeight="1">
      <c r="A34" s="3527"/>
      <c r="B34" s="1137" t="s">
        <v>1439</v>
      </c>
      <c r="C34" s="1114" t="s">
        <v>1467</v>
      </c>
      <c r="D34" s="1115"/>
      <c r="E34" s="1137">
        <v>1.5</v>
      </c>
      <c r="F34" s="1116" t="s">
        <v>1468</v>
      </c>
      <c r="G34" s="1117"/>
      <c r="H34" s="1088"/>
      <c r="I34" s="1088"/>
    </row>
    <row r="35" spans="1:9" s="1529" customFormat="1" ht="19.5" customHeight="1">
      <c r="A35" s="3527" t="s">
        <v>1422</v>
      </c>
      <c r="B35" s="1137" t="s">
        <v>1436</v>
      </c>
      <c r="C35" s="1114" t="s">
        <v>1469</v>
      </c>
      <c r="D35" s="1115"/>
      <c r="E35" s="1137">
        <v>1</v>
      </c>
      <c r="F35" s="1116" t="s">
        <v>1470</v>
      </c>
      <c r="G35" s="1117"/>
      <c r="H35" s="1088"/>
      <c r="I35" s="1088"/>
    </row>
    <row r="36" spans="1:9" s="1529" customFormat="1" ht="19.5" customHeight="1">
      <c r="A36" s="3527"/>
      <c r="B36" s="3527" t="s">
        <v>1439</v>
      </c>
      <c r="C36" s="1114" t="s">
        <v>1471</v>
      </c>
      <c r="D36" s="1115"/>
      <c r="E36" s="1137">
        <v>1</v>
      </c>
      <c r="F36" s="1116" t="s">
        <v>1472</v>
      </c>
      <c r="G36" s="1117"/>
      <c r="H36" s="1088"/>
      <c r="I36" s="1088"/>
    </row>
    <row r="37" spans="1:9" s="1529" customFormat="1" ht="19.5" customHeight="1">
      <c r="A37" s="3527"/>
      <c r="B37" s="3527"/>
      <c r="C37" s="1114" t="s">
        <v>1473</v>
      </c>
      <c r="D37" s="1115"/>
      <c r="E37" s="1137">
        <v>1.5</v>
      </c>
      <c r="F37" s="1116" t="s">
        <v>1474</v>
      </c>
      <c r="G37" s="1117"/>
      <c r="H37" s="1088"/>
      <c r="I37" s="1088"/>
    </row>
    <row r="38" spans="1:9" s="1529" customFormat="1" ht="19.5" customHeight="1">
      <c r="A38" s="3527"/>
      <c r="B38" s="3527"/>
      <c r="C38" s="1114" t="s">
        <v>1475</v>
      </c>
      <c r="D38" s="1115"/>
      <c r="E38" s="1137">
        <v>1</v>
      </c>
      <c r="F38" s="1116" t="s">
        <v>1476</v>
      </c>
      <c r="G38" s="1117"/>
      <c r="H38" s="1088"/>
      <c r="I38" s="1088"/>
    </row>
    <row r="39" spans="1:9" s="1529" customFormat="1" ht="19.5" customHeight="1">
      <c r="A39" s="3527"/>
      <c r="B39" s="3527"/>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27" t="s">
        <v>1491</v>
      </c>
      <c r="C61" s="1051" t="s">
        <v>1492</v>
      </c>
      <c r="D61" s="1051" t="s">
        <v>1493</v>
      </c>
      <c r="E61" s="1122">
        <v>0.5</v>
      </c>
      <c r="F61" s="1137">
        <v>80</v>
      </c>
      <c r="H61" s="1088">
        <f>SUMIF(C59:C119,基准地价!C8,E59:E119)</f>
        <v>0</v>
      </c>
    </row>
    <row r="62" spans="1:8" s="1088" customFormat="1" ht="24">
      <c r="A62" s="1137">
        <v>2</v>
      </c>
      <c r="B62" s="3527"/>
      <c r="C62" s="1051" t="s">
        <v>1494</v>
      </c>
      <c r="D62" s="1051" t="s">
        <v>1495</v>
      </c>
      <c r="E62" s="1122">
        <v>0.5</v>
      </c>
      <c r="F62" s="1137">
        <v>80</v>
      </c>
    </row>
    <row r="63" spans="1:8" s="1088" customFormat="1" ht="36">
      <c r="A63" s="1137">
        <v>3</v>
      </c>
      <c r="B63" s="3527"/>
      <c r="C63" s="1051" t="s">
        <v>1496</v>
      </c>
      <c r="D63" s="1051" t="s">
        <v>1497</v>
      </c>
      <c r="E63" s="1122">
        <v>0.5</v>
      </c>
      <c r="F63" s="1137">
        <v>80</v>
      </c>
    </row>
    <row r="64" spans="1:8" s="1088" customFormat="1" ht="36">
      <c r="A64" s="1137">
        <v>4</v>
      </c>
      <c r="B64" s="3527"/>
      <c r="C64" s="1051" t="s">
        <v>1498</v>
      </c>
      <c r="D64" s="1051" t="s">
        <v>1499</v>
      </c>
      <c r="E64" s="1122">
        <v>0.4</v>
      </c>
      <c r="F64" s="1137">
        <v>60</v>
      </c>
    </row>
    <row r="65" spans="1:6" s="1088" customFormat="1" ht="36">
      <c r="A65" s="1137">
        <v>5</v>
      </c>
      <c r="B65" s="3527"/>
      <c r="C65" s="1051" t="s">
        <v>1500</v>
      </c>
      <c r="D65" s="1051" t="s">
        <v>1501</v>
      </c>
      <c r="E65" s="1122">
        <v>0.2</v>
      </c>
      <c r="F65" s="1137">
        <v>30</v>
      </c>
    </row>
    <row r="66" spans="1:6" s="1088" customFormat="1" ht="36">
      <c r="A66" s="1137">
        <v>6</v>
      </c>
      <c r="B66" s="3527"/>
      <c r="C66" s="1051" t="s">
        <v>1502</v>
      </c>
      <c r="D66" s="1051" t="s">
        <v>1503</v>
      </c>
      <c r="E66" s="1122">
        <v>0.3</v>
      </c>
      <c r="F66" s="1137">
        <v>50</v>
      </c>
    </row>
    <row r="67" spans="1:6" s="1088" customFormat="1" ht="36">
      <c r="A67" s="1137">
        <v>7</v>
      </c>
      <c r="B67" s="3527"/>
      <c r="C67" s="1051" t="s">
        <v>1504</v>
      </c>
      <c r="D67" s="1051" t="s">
        <v>1505</v>
      </c>
      <c r="E67" s="1122">
        <v>0.2</v>
      </c>
      <c r="F67" s="1137">
        <v>30</v>
      </c>
    </row>
    <row r="68" spans="1:6" s="1088" customFormat="1" ht="36">
      <c r="A68" s="1137">
        <v>8</v>
      </c>
      <c r="B68" s="3527"/>
      <c r="C68" s="1051" t="s">
        <v>1506</v>
      </c>
      <c r="D68" s="1051" t="s">
        <v>1507</v>
      </c>
      <c r="E68" s="1122">
        <v>0.2</v>
      </c>
      <c r="F68" s="1137">
        <v>30</v>
      </c>
    </row>
    <row r="69" spans="1:6" s="1088" customFormat="1" ht="36">
      <c r="A69" s="1137">
        <v>9</v>
      </c>
      <c r="B69" s="3527"/>
      <c r="C69" s="1051" t="s">
        <v>1508</v>
      </c>
      <c r="D69" s="1051" t="s">
        <v>1509</v>
      </c>
      <c r="E69" s="1122">
        <v>0.2</v>
      </c>
      <c r="F69" s="1137">
        <v>30</v>
      </c>
    </row>
    <row r="70" spans="1:6" s="1088" customFormat="1" ht="48">
      <c r="A70" s="1137">
        <v>10</v>
      </c>
      <c r="B70" s="3527"/>
      <c r="C70" s="1051" t="s">
        <v>1510</v>
      </c>
      <c r="D70" s="1051" t="s">
        <v>1511</v>
      </c>
      <c r="E70" s="1122">
        <v>0.2</v>
      </c>
      <c r="F70" s="1137">
        <v>30</v>
      </c>
    </row>
    <row r="71" spans="1:6" s="1088" customFormat="1" ht="48">
      <c r="A71" s="1137">
        <v>11</v>
      </c>
      <c r="B71" s="3527"/>
      <c r="C71" s="1051" t="s">
        <v>1512</v>
      </c>
      <c r="D71" s="1051" t="s">
        <v>1513</v>
      </c>
      <c r="E71" s="1122">
        <v>0.2</v>
      </c>
      <c r="F71" s="1137">
        <v>30</v>
      </c>
    </row>
    <row r="72" spans="1:6" s="1088" customFormat="1" ht="36">
      <c r="A72" s="1137">
        <v>12</v>
      </c>
      <c r="B72" s="3527"/>
      <c r="C72" s="1051" t="s">
        <v>1514</v>
      </c>
      <c r="D72" s="1051" t="s">
        <v>1515</v>
      </c>
      <c r="E72" s="1122">
        <v>0.5</v>
      </c>
      <c r="F72" s="1137">
        <v>80</v>
      </c>
    </row>
    <row r="73" spans="1:6" s="1088" customFormat="1" ht="24">
      <c r="A73" s="1137">
        <v>13</v>
      </c>
      <c r="B73" s="3527"/>
      <c r="C73" s="1051" t="s">
        <v>1516</v>
      </c>
      <c r="D73" s="1051" t="s">
        <v>1517</v>
      </c>
      <c r="E73" s="1122">
        <v>0.4</v>
      </c>
      <c r="F73" s="1137">
        <v>60</v>
      </c>
    </row>
    <row r="74" spans="1:6" s="1088" customFormat="1" ht="24">
      <c r="A74" s="1137">
        <v>14</v>
      </c>
      <c r="B74" s="3527"/>
      <c r="C74" s="1051" t="s">
        <v>1518</v>
      </c>
      <c r="D74" s="1051" t="s">
        <v>1519</v>
      </c>
      <c r="E74" s="1122">
        <v>0.2</v>
      </c>
      <c r="F74" s="1137">
        <v>30</v>
      </c>
    </row>
    <row r="75" spans="1:6" s="1088" customFormat="1" ht="24">
      <c r="A75" s="1137">
        <v>15</v>
      </c>
      <c r="B75" s="3527"/>
      <c r="C75" s="1051" t="s">
        <v>1520</v>
      </c>
      <c r="D75" s="1051" t="s">
        <v>1521</v>
      </c>
      <c r="E75" s="1122">
        <v>0.2</v>
      </c>
      <c r="F75" s="1137">
        <v>30</v>
      </c>
    </row>
    <row r="76" spans="1:6" s="1088" customFormat="1" ht="24">
      <c r="A76" s="1137">
        <v>16</v>
      </c>
      <c r="B76" s="3527" t="s">
        <v>1522</v>
      </c>
      <c r="C76" s="1051" t="s">
        <v>1523</v>
      </c>
      <c r="D76" s="1051" t="s">
        <v>1524</v>
      </c>
      <c r="E76" s="1122">
        <v>0.5</v>
      </c>
      <c r="F76" s="1137">
        <v>80</v>
      </c>
    </row>
    <row r="77" spans="1:6" s="1088" customFormat="1" ht="24">
      <c r="A77" s="1137">
        <v>17</v>
      </c>
      <c r="B77" s="3527"/>
      <c r="C77" s="1051" t="s">
        <v>1525</v>
      </c>
      <c r="D77" s="1051" t="s">
        <v>1526</v>
      </c>
      <c r="E77" s="1122">
        <v>0.5</v>
      </c>
      <c r="F77" s="1137">
        <v>80</v>
      </c>
    </row>
    <row r="78" spans="1:6" s="1088" customFormat="1" ht="24">
      <c r="A78" s="1137">
        <v>18</v>
      </c>
      <c r="B78" s="3527"/>
      <c r="C78" s="1051" t="s">
        <v>1527</v>
      </c>
      <c r="D78" s="1051" t="s">
        <v>1528</v>
      </c>
      <c r="E78" s="1122">
        <v>0.2</v>
      </c>
      <c r="F78" s="1137">
        <v>30</v>
      </c>
    </row>
    <row r="79" spans="1:6" s="1088" customFormat="1" ht="24">
      <c r="A79" s="1137">
        <v>19</v>
      </c>
      <c r="B79" s="3527"/>
      <c r="C79" s="1051" t="s">
        <v>1529</v>
      </c>
      <c r="D79" s="1051" t="s">
        <v>1530</v>
      </c>
      <c r="E79" s="1122">
        <v>0.5</v>
      </c>
      <c r="F79" s="1137">
        <v>80</v>
      </c>
    </row>
    <row r="80" spans="1:6" s="1088" customFormat="1" ht="36">
      <c r="A80" s="1137">
        <v>20</v>
      </c>
      <c r="B80" s="3527"/>
      <c r="C80" s="1051" t="s">
        <v>1531</v>
      </c>
      <c r="D80" s="1051" t="s">
        <v>1532</v>
      </c>
      <c r="E80" s="1122">
        <v>0.2</v>
      </c>
      <c r="F80" s="1137">
        <v>30</v>
      </c>
    </row>
    <row r="81" spans="1:6" s="1088" customFormat="1" ht="36">
      <c r="A81" s="1137">
        <v>21</v>
      </c>
      <c r="B81" s="3527"/>
      <c r="C81" s="1051" t="s">
        <v>1533</v>
      </c>
      <c r="D81" s="1051" t="s">
        <v>1534</v>
      </c>
      <c r="E81" s="1122">
        <v>0.2</v>
      </c>
      <c r="F81" s="1137">
        <v>30</v>
      </c>
    </row>
    <row r="82" spans="1:6" s="1088" customFormat="1" ht="48">
      <c r="A82" s="1137">
        <v>22</v>
      </c>
      <c r="B82" s="3527"/>
      <c r="C82" s="1051" t="s">
        <v>1535</v>
      </c>
      <c r="D82" s="1051" t="s">
        <v>1536</v>
      </c>
      <c r="E82" s="1122">
        <v>0.2</v>
      </c>
      <c r="F82" s="1137">
        <v>30</v>
      </c>
    </row>
    <row r="83" spans="1:6" s="1088" customFormat="1" ht="48">
      <c r="A83" s="1137">
        <v>23</v>
      </c>
      <c r="B83" s="3527"/>
      <c r="C83" s="1051" t="s">
        <v>1537</v>
      </c>
      <c r="D83" s="1051" t="s">
        <v>1538</v>
      </c>
      <c r="E83" s="1122">
        <v>0.2</v>
      </c>
      <c r="F83" s="1137">
        <v>30</v>
      </c>
    </row>
    <row r="84" spans="1:6" s="1088" customFormat="1" ht="36">
      <c r="A84" s="1137">
        <v>24</v>
      </c>
      <c r="B84" s="3527"/>
      <c r="C84" s="1051" t="s">
        <v>1539</v>
      </c>
      <c r="D84" s="1051" t="s">
        <v>1540</v>
      </c>
      <c r="E84" s="1122">
        <v>0.2</v>
      </c>
      <c r="F84" s="1137">
        <v>30</v>
      </c>
    </row>
    <row r="85" spans="1:6" s="1088" customFormat="1" ht="36">
      <c r="A85" s="1137">
        <v>25</v>
      </c>
      <c r="B85" s="3527"/>
      <c r="C85" s="1051" t="s">
        <v>1541</v>
      </c>
      <c r="D85" s="1051" t="s">
        <v>1542</v>
      </c>
      <c r="E85" s="1122">
        <v>0.5</v>
      </c>
      <c r="F85" s="1137">
        <v>80</v>
      </c>
    </row>
    <row r="86" spans="1:6" s="1088" customFormat="1" ht="36">
      <c r="A86" s="1137">
        <v>26</v>
      </c>
      <c r="B86" s="3527"/>
      <c r="C86" s="1051" t="s">
        <v>1543</v>
      </c>
      <c r="D86" s="1051" t="s">
        <v>1544</v>
      </c>
      <c r="E86" s="1122">
        <v>0.2</v>
      </c>
      <c r="F86" s="1137">
        <v>30</v>
      </c>
    </row>
    <row r="87" spans="1:6" s="1088" customFormat="1" ht="36">
      <c r="A87" s="1137">
        <v>27</v>
      </c>
      <c r="B87" s="3527"/>
      <c r="C87" s="1051" t="s">
        <v>1545</v>
      </c>
      <c r="D87" s="1051" t="s">
        <v>1546</v>
      </c>
      <c r="E87" s="1122">
        <v>0.2</v>
      </c>
      <c r="F87" s="1137">
        <v>30</v>
      </c>
    </row>
    <row r="88" spans="1:6" s="1088" customFormat="1" ht="36">
      <c r="A88" s="1137">
        <v>28</v>
      </c>
      <c r="B88" s="3527"/>
      <c r="C88" s="1051" t="s">
        <v>1547</v>
      </c>
      <c r="D88" s="1051" t="s">
        <v>1548</v>
      </c>
      <c r="E88" s="1122">
        <v>0.2</v>
      </c>
      <c r="F88" s="1137">
        <v>30</v>
      </c>
    </row>
    <row r="89" spans="1:6" s="1088" customFormat="1" ht="24">
      <c r="A89" s="1137">
        <v>29</v>
      </c>
      <c r="B89" s="3527"/>
      <c r="C89" s="1051" t="s">
        <v>1549</v>
      </c>
      <c r="D89" s="1051" t="s">
        <v>1550</v>
      </c>
      <c r="E89" s="1122">
        <v>0.2</v>
      </c>
      <c r="F89" s="1137">
        <v>30</v>
      </c>
    </row>
    <row r="90" spans="1:6" s="1088" customFormat="1" ht="24">
      <c r="A90" s="1137">
        <v>30</v>
      </c>
      <c r="B90" s="3527"/>
      <c r="C90" s="1051" t="s">
        <v>1551</v>
      </c>
      <c r="D90" s="1051" t="s">
        <v>1552</v>
      </c>
      <c r="E90" s="1122">
        <v>0.2</v>
      </c>
      <c r="F90" s="1137">
        <v>30</v>
      </c>
    </row>
    <row r="91" spans="1:6" s="1088" customFormat="1" ht="36">
      <c r="A91" s="1137">
        <v>31</v>
      </c>
      <c r="B91" s="3527"/>
      <c r="C91" s="1051" t="s">
        <v>1553</v>
      </c>
      <c r="D91" s="1051" t="s">
        <v>1554</v>
      </c>
      <c r="E91" s="1122">
        <v>0.2</v>
      </c>
      <c r="F91" s="1137">
        <v>30</v>
      </c>
    </row>
    <row r="92" spans="1:6" s="1088" customFormat="1" ht="24">
      <c r="A92" s="1137">
        <v>32</v>
      </c>
      <c r="B92" s="3527" t="s">
        <v>1555</v>
      </c>
      <c r="C92" s="1137" t="s">
        <v>1556</v>
      </c>
      <c r="D92" s="1051" t="s">
        <v>1557</v>
      </c>
      <c r="E92" s="1122">
        <v>0.2</v>
      </c>
      <c r="F92" s="1137">
        <v>30</v>
      </c>
    </row>
    <row r="93" spans="1:6" s="1088" customFormat="1" ht="36">
      <c r="A93" s="1137">
        <v>33</v>
      </c>
      <c r="B93" s="3527"/>
      <c r="C93" s="1137" t="s">
        <v>1558</v>
      </c>
      <c r="D93" s="1051" t="s">
        <v>1559</v>
      </c>
      <c r="E93" s="1122">
        <v>0.2</v>
      </c>
      <c r="F93" s="1137">
        <v>30</v>
      </c>
    </row>
    <row r="94" spans="1:6" s="1088" customFormat="1" ht="48">
      <c r="A94" s="1137">
        <v>34</v>
      </c>
      <c r="B94" s="3527"/>
      <c r="C94" s="1137" t="s">
        <v>1560</v>
      </c>
      <c r="D94" s="1051" t="s">
        <v>1561</v>
      </c>
      <c r="E94" s="1122">
        <v>0.2</v>
      </c>
      <c r="F94" s="1137">
        <v>30</v>
      </c>
    </row>
    <row r="95" spans="1:6" s="1088" customFormat="1" ht="36">
      <c r="A95" s="1137">
        <v>35</v>
      </c>
      <c r="B95" s="3527"/>
      <c r="C95" s="1137" t="s">
        <v>1562</v>
      </c>
      <c r="D95" s="1051" t="s">
        <v>1563</v>
      </c>
      <c r="E95" s="1122">
        <v>0.2</v>
      </c>
      <c r="F95" s="1137">
        <v>30</v>
      </c>
    </row>
    <row r="96" spans="1:6" s="1088" customFormat="1" ht="48">
      <c r="A96" s="1137">
        <v>36</v>
      </c>
      <c r="B96" s="3527"/>
      <c r="C96" s="1051" t="s">
        <v>1564</v>
      </c>
      <c r="D96" s="1051" t="s">
        <v>1565</v>
      </c>
      <c r="E96" s="1122">
        <v>0.2</v>
      </c>
      <c r="F96" s="1137">
        <v>30</v>
      </c>
    </row>
    <row r="97" spans="1:6" s="1088" customFormat="1" ht="36">
      <c r="A97" s="1137">
        <v>37</v>
      </c>
      <c r="B97" s="3527"/>
      <c r="C97" s="1137" t="s">
        <v>1566</v>
      </c>
      <c r="D97" s="1051" t="s">
        <v>1567</v>
      </c>
      <c r="E97" s="1122">
        <v>0.2</v>
      </c>
      <c r="F97" s="1137">
        <v>30</v>
      </c>
    </row>
    <row r="98" spans="1:6" s="1088" customFormat="1" ht="36">
      <c r="A98" s="1137">
        <v>38</v>
      </c>
      <c r="B98" s="3527"/>
      <c r="C98" s="1137" t="s">
        <v>1568</v>
      </c>
      <c r="D98" s="1051" t="s">
        <v>1569</v>
      </c>
      <c r="E98" s="1122">
        <v>0.2</v>
      </c>
      <c r="F98" s="1137">
        <v>30</v>
      </c>
    </row>
    <row r="99" spans="1:6" s="1088" customFormat="1" ht="36">
      <c r="A99" s="1137">
        <v>39</v>
      </c>
      <c r="B99" s="3527" t="s">
        <v>1570</v>
      </c>
      <c r="C99" s="1137" t="s">
        <v>1571</v>
      </c>
      <c r="D99" s="1051" t="s">
        <v>1572</v>
      </c>
      <c r="E99" s="1122">
        <v>0.3</v>
      </c>
      <c r="F99" s="1137">
        <v>50</v>
      </c>
    </row>
    <row r="100" spans="1:6" s="1088" customFormat="1" ht="24">
      <c r="A100" s="1137">
        <v>40</v>
      </c>
      <c r="B100" s="3527"/>
      <c r="C100" s="1137" t="s">
        <v>1573</v>
      </c>
      <c r="D100" s="1051" t="s">
        <v>1574</v>
      </c>
      <c r="E100" s="1122">
        <v>0.2</v>
      </c>
      <c r="F100" s="1137">
        <v>30</v>
      </c>
    </row>
    <row r="101" spans="1:6" s="1088" customFormat="1" ht="36">
      <c r="A101" s="1137">
        <v>41</v>
      </c>
      <c r="B101" s="3527"/>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27" t="s">
        <v>1585</v>
      </c>
      <c r="C105" s="1137" t="s">
        <v>1586</v>
      </c>
      <c r="D105" s="1051" t="s">
        <v>1587</v>
      </c>
      <c r="E105" s="1122">
        <v>0.2</v>
      </c>
      <c r="F105" s="1137">
        <v>30</v>
      </c>
    </row>
    <row r="106" spans="1:6" s="1088" customFormat="1" ht="36">
      <c r="A106" s="1137">
        <v>46</v>
      </c>
      <c r="B106" s="3527"/>
      <c r="C106" s="1137" t="s">
        <v>1588</v>
      </c>
      <c r="D106" s="1051" t="s">
        <v>1589</v>
      </c>
      <c r="E106" s="1122">
        <v>0.2</v>
      </c>
      <c r="F106" s="1137">
        <v>30</v>
      </c>
    </row>
    <row r="107" spans="1:6" s="1088" customFormat="1" ht="36">
      <c r="A107" s="1137">
        <v>47</v>
      </c>
      <c r="B107" s="3527" t="s">
        <v>1590</v>
      </c>
      <c r="C107" s="1137" t="s">
        <v>1591</v>
      </c>
      <c r="D107" s="1051" t="s">
        <v>1592</v>
      </c>
      <c r="E107" s="1122">
        <v>0.3</v>
      </c>
      <c r="F107" s="1137">
        <v>50</v>
      </c>
    </row>
    <row r="108" spans="1:6" s="1088" customFormat="1" ht="36">
      <c r="A108" s="1137">
        <v>48</v>
      </c>
      <c r="B108" s="3527"/>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27" t="s">
        <v>1601</v>
      </c>
      <c r="C111" s="1137" t="s">
        <v>1602</v>
      </c>
      <c r="D111" s="1051" t="s">
        <v>1603</v>
      </c>
      <c r="E111" s="1122">
        <v>0.2</v>
      </c>
      <c r="F111" s="1137">
        <v>30</v>
      </c>
    </row>
    <row r="112" spans="1:6" s="1088" customFormat="1" ht="24">
      <c r="A112" s="1137">
        <v>52</v>
      </c>
      <c r="B112" s="3527"/>
      <c r="C112" s="1137" t="s">
        <v>1604</v>
      </c>
      <c r="D112" s="1051" t="s">
        <v>1605</v>
      </c>
      <c r="E112" s="1122">
        <v>0.2</v>
      </c>
      <c r="F112" s="1137">
        <v>30</v>
      </c>
    </row>
    <row r="113" spans="1:14" s="1088" customFormat="1" ht="24">
      <c r="A113" s="1137">
        <v>53</v>
      </c>
      <c r="B113" s="3527"/>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27" t="s">
        <v>1614</v>
      </c>
      <c r="C116" s="1137" t="s">
        <v>1615</v>
      </c>
      <c r="D116" s="1051" t="s">
        <v>1616</v>
      </c>
      <c r="E116" s="1122">
        <v>0.2</v>
      </c>
      <c r="F116" s="1137">
        <v>30</v>
      </c>
    </row>
    <row r="117" spans="1:14" ht="36">
      <c r="A117" s="1137">
        <v>57</v>
      </c>
      <c r="B117" s="3527"/>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26" t="s">
        <v>1623</v>
      </c>
      <c r="B121" s="3526"/>
      <c r="C121" s="3526"/>
      <c r="D121" s="3526"/>
      <c r="E121" s="3526"/>
      <c r="F121" s="3526"/>
      <c r="G121" s="3526"/>
      <c r="H121" s="3526"/>
      <c r="I121" s="3526"/>
      <c r="J121" s="352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1" t="s">
        <v>1029</v>
      </c>
      <c r="B1" s="3541"/>
      <c r="C1" s="3541"/>
      <c r="D1" s="3541"/>
      <c r="E1" s="3541"/>
      <c r="F1" s="3541"/>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42" t="s">
        <v>1042</v>
      </c>
      <c r="B2" s="3542"/>
      <c r="C2" s="3542"/>
      <c r="D2" s="3542"/>
      <c r="E2" s="3542"/>
      <c r="F2" s="3542"/>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43"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44"/>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5" t="s">
        <v>2067</v>
      </c>
      <c r="B1" s="354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48" t="s">
        <v>2555</v>
      </c>
      <c r="C1" s="3548"/>
      <c r="D1" s="3548"/>
      <c r="E1" s="3548"/>
      <c r="F1" s="3548"/>
      <c r="G1" s="3547" t="s">
        <v>2556</v>
      </c>
      <c r="H1" s="3547"/>
      <c r="I1" s="3547"/>
      <c r="J1" s="3547"/>
      <c r="K1" s="3547"/>
      <c r="L1" s="3547"/>
      <c r="N1" s="3547" t="s">
        <v>2557</v>
      </c>
      <c r="O1" s="3547"/>
      <c r="P1" s="3547"/>
      <c r="Q1" s="3547"/>
      <c r="S1" s="3547" t="s">
        <v>2558</v>
      </c>
      <c r="T1" s="3547"/>
      <c r="U1" s="3547"/>
      <c r="V1" s="3547"/>
      <c r="X1" s="3546" t="s">
        <v>2618</v>
      </c>
      <c r="Y1" s="3547"/>
      <c r="Z1" s="3547"/>
      <c r="AA1" s="3547"/>
      <c r="AB1" s="3547"/>
      <c r="AD1" s="3546" t="s">
        <v>2622</v>
      </c>
      <c r="AE1" s="3547"/>
      <c r="AF1" s="3547"/>
      <c r="AG1" s="3547"/>
      <c r="AH1" s="3547"/>
    </row>
    <row r="2" spans="1:34" s="2864" customFormat="1" ht="14.25" thickBot="1">
      <c r="B2" s="2865" t="s">
        <v>2559</v>
      </c>
      <c r="C2" s="2865" t="s">
        <v>2620</v>
      </c>
      <c r="D2" s="2866" t="s">
        <v>1634</v>
      </c>
      <c r="E2" s="2866" t="s">
        <v>1937</v>
      </c>
      <c r="F2" s="2865" t="s">
        <v>2621</v>
      </c>
      <c r="G2" s="2867"/>
      <c r="I2" s="2865" t="s">
        <v>2916</v>
      </c>
      <c r="J2" s="2866" t="s">
        <v>2918</v>
      </c>
      <c r="K2" s="2866" t="s">
        <v>2919</v>
      </c>
      <c r="L2" s="2865" t="s">
        <v>2920</v>
      </c>
      <c r="N2" s="2865" t="s">
        <v>2559</v>
      </c>
      <c r="O2" s="2866" t="s">
        <v>2917</v>
      </c>
      <c r="P2" s="2866" t="s">
        <v>1937</v>
      </c>
      <c r="Q2" s="2865" t="s">
        <v>2621</v>
      </c>
      <c r="S2" s="2865" t="s">
        <v>2559</v>
      </c>
      <c r="T2" s="2866" t="s">
        <v>2917</v>
      </c>
      <c r="U2" s="2866" t="s">
        <v>1937</v>
      </c>
      <c r="V2" s="2865" t="s">
        <v>2621</v>
      </c>
      <c r="X2" s="2865" t="s">
        <v>2559</v>
      </c>
      <c r="Y2" s="2865" t="s">
        <v>2620</v>
      </c>
      <c r="Z2" s="2866" t="s">
        <v>1634</v>
      </c>
      <c r="AA2" s="2866" t="s">
        <v>1937</v>
      </c>
      <c r="AB2" s="2865" t="s">
        <v>2621</v>
      </c>
      <c r="AD2" s="2865" t="s">
        <v>2559</v>
      </c>
      <c r="AE2" s="2865" t="s">
        <v>2620</v>
      </c>
      <c r="AF2" s="2866" t="s">
        <v>1634</v>
      </c>
      <c r="AG2" s="2866" t="s">
        <v>1937</v>
      </c>
      <c r="AH2" s="2865" t="s">
        <v>2621</v>
      </c>
    </row>
    <row r="3" spans="1:34" s="2874" customFormat="1" ht="14.25">
      <c r="A3" s="2868" t="s">
        <v>2927</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Z32"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2999</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2928</v>
      </c>
      <c r="X5" s="2895">
        <f>ROUND(IF(项目基本情况!B3="出让",SUMPRODUCT(PRODUCT(1+N5:N$35)),SUMPRODUCT(PRODUCT(1+N5:N$34))),4)</f>
        <v>1.6338999999999999</v>
      </c>
      <c r="Y5" s="2895">
        <f>ROUND(IF(项目基本情况!B3="出让",SUMPRODUCT(PRODUCT(1+O5:O$35)),SUMPRODUCT(PRODUCT(1+O5:O$34))),4)</f>
        <v>1.3588</v>
      </c>
      <c r="Z5" s="2895">
        <f t="shared" ref="Z5" si="11">Y5</f>
        <v>1.3588</v>
      </c>
      <c r="AA5" s="2895">
        <f>ROUND(IF(项目基本情况!B3="出让",SUMPRODUCT(PRODUCT(1+P5:P$35)),SUMPRODUCT(PRODUCT(1+P5:P$34))),4)</f>
        <v>1.7150000000000001</v>
      </c>
      <c r="AB5" s="2895">
        <f>ROUND(IF(项目基本情况!B3="出让",SUMPRODUCT(PRODUCT(1+Q5:Q$35)),SUMPRODUCT(PRODUCT(1+Q5:Q$34))),4)</f>
        <v>1.446</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2998</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ROUND(IF(项目基本情况!B4="出让",SUMPRODUCT(PRODUCT(1+N6:N$35)),SUMPRODUCT(PRODUCT(1+N6:N$34))),4)</f>
        <v>1.6338999999999999</v>
      </c>
      <c r="Y6" s="2885">
        <f>ROUND(IF(项目基本情况!B4="出让",SUMPRODUCT(PRODUCT(1+O6:O$35)),SUMPRODUCT(PRODUCT(1+O6:O$34))),4)</f>
        <v>1.3588</v>
      </c>
      <c r="Z6" s="2885">
        <f t="shared" ref="Z6" si="22">Y6</f>
        <v>1.3588</v>
      </c>
      <c r="AA6" s="2885">
        <f>ROUND(IF(项目基本情况!B4="出让",SUMPRODUCT(PRODUCT(1+P6:P$35)),SUMPRODUCT(PRODUCT(1+P6:P$34))),4)</f>
        <v>1.7150000000000001</v>
      </c>
      <c r="AB6" s="2885">
        <f>ROUND(IF(项目基本情况!B4="出让",SUMPRODUCT(PRODUCT(1+Q6:Q$35)),SUMPRODUCT(PRODUCT(1+Q6:Q$34))),4)</f>
        <v>1.446</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2997</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ROUND(IF(项目基本情况!B5="出让",SUMPRODUCT(PRODUCT(1+N7:N$35)),SUMPRODUCT(PRODUCT(1+N7:N$34))),4)</f>
        <v>1.619</v>
      </c>
      <c r="Y7" s="2885">
        <f>ROUND(IF(项目基本情况!B5="出让",SUMPRODUCT(PRODUCT(1+O7:O$35)),SUMPRODUCT(PRODUCT(1+O7:O$34))),4)</f>
        <v>1.3491</v>
      </c>
      <c r="Z7" s="2885">
        <f t="shared" ref="Z7" si="33">Y7</f>
        <v>1.3491</v>
      </c>
      <c r="AA7" s="2885">
        <f>ROUND(IF(项目基本情况!B5="出让",SUMPRODUCT(PRODUCT(1+P7:P$35)),SUMPRODUCT(PRODUCT(1+P7:P$34))),4)</f>
        <v>1.6988000000000001</v>
      </c>
      <c r="AB7" s="2885">
        <f>ROUND(IF(项目基本情况!B5="出让",SUMPRODUCT(PRODUCT(1+Q7:Q$35)),SUMPRODUCT(PRODUCT(1+Q7:Q$34))),4)</f>
        <v>1.4315</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2995</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ROUND(IF(项目基本情况!B6="出让",SUMPRODUCT(PRODUCT(1+N8:N$35)),SUMPRODUCT(PRODUCT(1+N8:N$34))),4)</f>
        <v>1.6034999999999999</v>
      </c>
      <c r="Y8" s="2885">
        <f>ROUND(IF(项目基本情况!B6="出让",SUMPRODUCT(PRODUCT(1+O8:O$35)),SUMPRODUCT(PRODUCT(1+O8:O$34))),4)</f>
        <v>1.3469</v>
      </c>
      <c r="Z8" s="2885">
        <f t="shared" ref="Z8" si="44">Y8</f>
        <v>1.3469</v>
      </c>
      <c r="AA8" s="2885">
        <f>ROUND(IF(项目基本情况!B6="出让",SUMPRODUCT(PRODUCT(1+P8:P$35)),SUMPRODUCT(PRODUCT(1+P8:P$34))),4)</f>
        <v>1.6801999999999999</v>
      </c>
      <c r="AB8" s="2885">
        <f>ROUND(IF(项目基本情况!B6="出让",SUMPRODUCT(PRODUCT(1+Q8:Q$35)),SUMPRODUCT(PRODUCT(1+Q8:Q$34))),4)</f>
        <v>1.4263999999999999</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2994</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ROUND(IF(项目基本情况!B7="出让",SUMPRODUCT(PRODUCT(1+N9:N$35)),SUMPRODUCT(PRODUCT(1+N9:N$34))),4)</f>
        <v>1.571</v>
      </c>
      <c r="Y9" s="2885">
        <f>ROUND(IF(项目基本情况!B7="出让",SUMPRODUCT(PRODUCT(1+O9:O$35)),SUMPRODUCT(PRODUCT(1+O9:O$34))),4)</f>
        <v>1.3420000000000001</v>
      </c>
      <c r="Z9" s="2885">
        <f t="shared" ref="Z9" si="55">Y9</f>
        <v>1.3420000000000001</v>
      </c>
      <c r="AA9" s="2885">
        <f>ROUND(IF(项目基本情况!B7="出让",SUMPRODUCT(PRODUCT(1+P9:P$35)),SUMPRODUCT(PRODUCT(1+P9:P$34))),4)</f>
        <v>1.6415999999999999</v>
      </c>
      <c r="AB9" s="2885">
        <f>ROUND(IF(项目基本情况!B7="出让",SUMPRODUCT(PRODUCT(1+Q9:Q$35)),SUMPRODUCT(PRODUCT(1+Q9:Q$34))),4)</f>
        <v>1.389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2957</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ROUND(IF(项目基本情况!B8="出让",SUMPRODUCT(PRODUCT(1+N10:N$35)),SUMPRODUCT(PRODUCT(1+N10:N$34))),4)</f>
        <v>1.5652999999999999</v>
      </c>
      <c r="Y10" s="2885">
        <f>ROUND(IF(项目基本情况!B8="出让",SUMPRODUCT(PRODUCT(1+O10:O$35)),SUMPRODUCT(PRODUCT(1+O10:O$34))),4)</f>
        <v>1.3472</v>
      </c>
      <c r="Z10" s="2885">
        <f t="shared" ref="Z10" si="66">Y10</f>
        <v>1.3472</v>
      </c>
      <c r="AA10" s="2885">
        <f>ROUND(IF(项目基本情况!B8="出让",SUMPRODUCT(PRODUCT(1+P10:P$35)),SUMPRODUCT(PRODUCT(1+P10:P$34))),4)</f>
        <v>1.6335999999999999</v>
      </c>
      <c r="AB10" s="2885">
        <f>ROUND(IF(项目基本情况!B8="出让",SUMPRODUCT(PRODUCT(1+Q10:Q$35)),SUMPRODUCT(PRODUCT(1+Q10:Q$34))),4)</f>
        <v>1.3880999999999999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2955</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ROUND(IF(项目基本情况!B8="出让",SUMPRODUCT(PRODUCT(1+N11:N$35)),SUMPRODUCT(PRODUCT(1+N11:N$34))),4)</f>
        <v>1.5605</v>
      </c>
      <c r="Y11" s="2885">
        <f>ROUND(IF(项目基本情况!B8="出让",SUMPRODUCT(PRODUCT(1+O11:O$35)),SUMPRODUCT(PRODUCT(1+O11:O$34))),4)</f>
        <v>1.3577999999999999</v>
      </c>
      <c r="Z11" s="2885">
        <f t="shared" ref="Z11" si="77">Y11</f>
        <v>1.3577999999999999</v>
      </c>
      <c r="AA11" s="2885">
        <f>ROUND(IF(项目基本情况!B8="出让",SUMPRODUCT(PRODUCT(1+P11:P$35)),SUMPRODUCT(PRODUCT(1+P11:P$34))),4)</f>
        <v>1.6254999999999999</v>
      </c>
      <c r="AB11" s="2885">
        <f>ROUND(IF(项目基本情况!B8="出让",SUMPRODUCT(PRODUCT(1+Q11:Q$35)),SUMPRODUCT(PRODUCT(1+Q11:Q$34))),4)</f>
        <v>1.3815999999999999</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2952</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ROUND(IF(项目基本情况!B8="出让",SUMPRODUCT(PRODUCT(1+N12:N$35)),SUMPRODUCT(PRODUCT(1+N12:N$34))),4)</f>
        <v>1.5586</v>
      </c>
      <c r="Y12" s="2885">
        <f>ROUND(IF(项目基本情况!B8="出让",SUMPRODUCT(PRODUCT(1+O12:O$35)),SUMPRODUCT(PRODUCT(1+O12:O$34))),4)</f>
        <v>1.3633</v>
      </c>
      <c r="Z12" s="2885">
        <f t="shared" ref="Z12" si="88">Y12</f>
        <v>1.3633</v>
      </c>
      <c r="AA12" s="2885">
        <f>ROUND(IF(项目基本情况!B8="出让",SUMPRODUCT(PRODUCT(1+P12:P$35)),SUMPRODUCT(PRODUCT(1+P12:P$34))),4)</f>
        <v>1.6221000000000001</v>
      </c>
      <c r="AB12" s="2885">
        <f>ROUND(IF(项目基本情况!B8="出让",SUMPRODUCT(PRODUCT(1+Q12:Q$35)),SUMPRODUCT(PRODUCT(1+Q12:Q$34))),4)</f>
        <v>1.3777999999999999</v>
      </c>
      <c r="AC12" s="2885"/>
      <c r="AD12" s="2886">
        <f>ROUND(AVERAGE(I12:I$35)/100,4)</f>
        <v>0.02</v>
      </c>
      <c r="AE12" s="2886">
        <f>ROUND(AVERAGE(J12:J$35)/100,4)</f>
        <v>1.4E-2</v>
      </c>
      <c r="AF12" s="2886">
        <f t="shared" ref="AF12" si="89">AE12</f>
        <v>1.4E-2</v>
      </c>
      <c r="AG12" s="2886">
        <f>ROUND(AVERAGE(K12:K$35)/100,4)</f>
        <v>2.1899999999999999E-2</v>
      </c>
      <c r="AH12" s="2886">
        <f>ROUND(AVERAGE(L12:L$35)/100,4)</f>
        <v>1.4E-2</v>
      </c>
    </row>
    <row r="13" spans="1:34" s="2904" customFormat="1" ht="13.5" thickBot="1">
      <c r="A13" s="2897" t="s">
        <v>2951</v>
      </c>
      <c r="B13" s="2898">
        <f t="shared" ref="B13" si="90">B14*(1+N13)</f>
        <v>477.19997390765138</v>
      </c>
      <c r="C13" s="2898">
        <f t="shared" ref="C13" si="91">C14*(1+O13)</f>
        <v>351.84874729536665</v>
      </c>
      <c r="D13" s="2898">
        <f t="shared" ref="D13" si="92">C13</f>
        <v>351.84874729536665</v>
      </c>
      <c r="E13" s="2898">
        <f t="shared" ref="E13" si="93">E14*(1+P13)</f>
        <v>682.29768951465201</v>
      </c>
      <c r="F13" s="2898">
        <f t="shared" ref="F13" si="94">F14*(1+Q13)</f>
        <v>315.26985675409043</v>
      </c>
      <c r="G13" s="2881">
        <v>2019</v>
      </c>
      <c r="H13" s="2899">
        <v>3</v>
      </c>
      <c r="I13" s="2899">
        <v>0.61</v>
      </c>
      <c r="J13" s="2899">
        <v>0.67</v>
      </c>
      <c r="K13" s="2899">
        <v>0.6</v>
      </c>
      <c r="L13" s="2905">
        <v>1.03</v>
      </c>
      <c r="M13" s="2885"/>
      <c r="N13" s="2900">
        <f t="shared" ref="N13" si="95">I13/100</f>
        <v>6.0999999999999995E-3</v>
      </c>
      <c r="O13" s="2886">
        <f t="shared" ref="O13" si="96">J13/100</f>
        <v>6.7000000000000002E-3</v>
      </c>
      <c r="P13" s="2886">
        <f t="shared" ref="P13" si="97">K13/100</f>
        <v>6.0000000000000001E-3</v>
      </c>
      <c r="Q13" s="2886">
        <f t="shared" ref="Q13" si="98">L13/100</f>
        <v>1.03E-2</v>
      </c>
      <c r="R13" s="2901"/>
      <c r="S13" s="2902"/>
      <c r="T13" s="2903"/>
      <c r="U13" s="2903"/>
      <c r="V13" s="2903"/>
      <c r="W13" s="2885"/>
      <c r="X13" s="2885">
        <f>ROUND(IF(项目基本情况!B8="出让",SUMPRODUCT(PRODUCT(1+N13:N$35)),SUMPRODUCT(PRODUCT(1+N13:N$34))),4)</f>
        <v>1.5516000000000001</v>
      </c>
      <c r="Y13" s="2885">
        <f>ROUND(IF(项目基本情况!B8="出让",SUMPRODUCT(PRODUCT(1+O13:O$35)),SUMPRODUCT(PRODUCT(1+O13:O$34))),4)</f>
        <v>1.3649</v>
      </c>
      <c r="Z13" s="2885">
        <f t="shared" ref="Z13" si="99">Y13</f>
        <v>1.3649</v>
      </c>
      <c r="AA13" s="2885">
        <f>ROUND(IF(项目基本情况!B8="出让",SUMPRODUCT(PRODUCT(1+P13:P$35)),SUMPRODUCT(PRODUCT(1+P13:P$34))),4)</f>
        <v>1.6133999999999999</v>
      </c>
      <c r="AB13" s="2885">
        <f>ROUND(IF(项目基本情况!B8="出让",SUMPRODUCT(PRODUCT(1+Q13:Q$35)),SUMPRODUCT(PRODUCT(1+Q13:Q$34))),4)</f>
        <v>1.3713</v>
      </c>
      <c r="AC13" s="2885"/>
      <c r="AD13" s="2886">
        <f>ROUND(AVERAGE(I13:I$35)/100,4)</f>
        <v>2.07E-2</v>
      </c>
      <c r="AE13" s="2886">
        <f>ROUND(AVERAGE(J13:J$35)/100,4)</f>
        <v>1.47E-2</v>
      </c>
      <c r="AF13" s="2886">
        <f t="shared" ref="AF13" si="100">AE13</f>
        <v>1.47E-2</v>
      </c>
      <c r="AG13" s="2886">
        <f>ROUND(AVERAGE(K13:K$35)/100,4)</f>
        <v>2.2599999999999999E-2</v>
      </c>
      <c r="AH13" s="2886">
        <f>ROUND(AVERAGE(L13:L$35)/100,4)</f>
        <v>1.44E-2</v>
      </c>
    </row>
    <row r="14" spans="1:34" s="2904" customFormat="1">
      <c r="A14" s="2897" t="s">
        <v>2948</v>
      </c>
      <c r="B14" s="2898">
        <f t="shared" ref="B14:B19" si="101">B15*(1+N14)</f>
        <v>474.30670301923408</v>
      </c>
      <c r="C14" s="2898">
        <f t="shared" ref="C14" si="102">C15*(1+O14)</f>
        <v>349.50705005996491</v>
      </c>
      <c r="D14" s="2898">
        <f t="shared" ref="D14" si="103">C14</f>
        <v>349.50705005996491</v>
      </c>
      <c r="E14" s="2898">
        <f t="shared" ref="E14" si="104">E15*(1+P14)</f>
        <v>678.22831959706957</v>
      </c>
      <c r="F14" s="2898">
        <f t="shared" ref="F14" si="105">F15*(1+Q14)</f>
        <v>312.0556832169558</v>
      </c>
      <c r="G14" s="2881">
        <v>2019</v>
      </c>
      <c r="H14" s="2906">
        <v>2</v>
      </c>
      <c r="I14" s="2906">
        <v>1.53</v>
      </c>
      <c r="J14" s="2906">
        <v>1.01</v>
      </c>
      <c r="K14" s="2906">
        <v>1.62</v>
      </c>
      <c r="L14" s="2907">
        <v>1.25</v>
      </c>
      <c r="M14" s="2885"/>
      <c r="N14" s="2900">
        <f t="shared" ref="N14" si="106">I14/100</f>
        <v>1.5300000000000001E-2</v>
      </c>
      <c r="O14" s="2886">
        <f t="shared" ref="O14" si="107">J14/100</f>
        <v>1.01E-2</v>
      </c>
      <c r="P14" s="2886">
        <f t="shared" ref="P14" si="108">K14/100</f>
        <v>1.6200000000000003E-2</v>
      </c>
      <c r="Q14" s="2886">
        <f t="shared" ref="Q14" si="109">L14/100</f>
        <v>1.2500000000000001E-2</v>
      </c>
      <c r="R14" s="2901"/>
      <c r="S14" s="2902"/>
      <c r="T14" s="2903"/>
      <c r="U14" s="2903"/>
      <c r="V14" s="2903"/>
      <c r="W14" s="2885"/>
      <c r="X14" s="2885">
        <f>ROUND(IF(项目基本情况!B8="出让",SUMPRODUCT(PRODUCT(1+N14:N$35)),SUMPRODUCT(PRODUCT(1+N14:N$34))),4)</f>
        <v>1.5422</v>
      </c>
      <c r="Y14" s="2885">
        <f>ROUND(IF(项目基本情况!B8="出让",SUMPRODUCT(PRODUCT(1+O14:O$35)),SUMPRODUCT(PRODUCT(1+O14:O$34))),4)</f>
        <v>1.3557999999999999</v>
      </c>
      <c r="Z14" s="2885">
        <f t="shared" ref="Z14" si="110">Y14</f>
        <v>1.3557999999999999</v>
      </c>
      <c r="AA14" s="2885">
        <f>ROUND(IF(项目基本情况!B8="出让",SUMPRODUCT(PRODUCT(1+P14:P$35)),SUMPRODUCT(PRODUCT(1+P14:P$34))),4)</f>
        <v>1.6036999999999999</v>
      </c>
      <c r="AB14" s="2885">
        <f>ROUND(IF(项目基本情况!B8="出让",SUMPRODUCT(PRODUCT(1+Q14:Q$35)),SUMPRODUCT(PRODUCT(1+Q14:Q$34))),4)</f>
        <v>1.3573</v>
      </c>
      <c r="AC14" s="2885"/>
      <c r="AD14" s="2886">
        <f>ROUND(AVERAGE(I14:I$35)/100,4)</f>
        <v>2.1299999999999999E-2</v>
      </c>
      <c r="AE14" s="2886">
        <f>ROUND(AVERAGE(J14:J$35)/100,4)</f>
        <v>1.4999999999999999E-2</v>
      </c>
      <c r="AF14" s="2886">
        <f t="shared" ref="AF14" si="111">AE14</f>
        <v>1.4999999999999999E-2</v>
      </c>
      <c r="AG14" s="2886">
        <f>ROUND(AVERAGE(K14:K$35)/100,4)</f>
        <v>2.3300000000000001E-2</v>
      </c>
      <c r="AH14" s="2886">
        <f>ROUND(AVERAGE(L14:L$35)/100,4)</f>
        <v>1.46E-2</v>
      </c>
    </row>
    <row r="15" spans="1:34" s="2904" customFormat="1" ht="13.5" thickBot="1">
      <c r="A15" s="2897" t="s">
        <v>2947</v>
      </c>
      <c r="B15" s="2898">
        <f t="shared" si="101"/>
        <v>467.15916775261894</v>
      </c>
      <c r="C15" s="2898">
        <f t="shared" ref="C15" si="112">C16*(1+O15)</f>
        <v>346.01232557169084</v>
      </c>
      <c r="D15" s="2898">
        <f t="shared" ref="D15" si="113">C15</f>
        <v>346.01232557169084</v>
      </c>
      <c r="E15" s="2898">
        <f t="shared" ref="E15" si="114">E16*(1+P15)</f>
        <v>667.41617752122568</v>
      </c>
      <c r="F15" s="2898">
        <f t="shared" ref="F15" si="115">F16*(1+Q15)</f>
        <v>308.20314391798104</v>
      </c>
      <c r="G15" s="2881">
        <v>2019</v>
      </c>
      <c r="H15" s="2899">
        <v>1</v>
      </c>
      <c r="I15" s="2899">
        <v>0.6</v>
      </c>
      <c r="J15" s="2899">
        <v>0.37</v>
      </c>
      <c r="K15" s="2899">
        <v>0.63</v>
      </c>
      <c r="L15" s="2905">
        <v>1.1299999999999999</v>
      </c>
      <c r="M15" s="2885"/>
      <c r="N15" s="2900">
        <f t="shared" ref="N15" si="116">I15/100</f>
        <v>6.0000000000000001E-3</v>
      </c>
      <c r="O15" s="2886">
        <f t="shared" ref="O15" si="117">J15/100</f>
        <v>3.7000000000000002E-3</v>
      </c>
      <c r="P15" s="2886">
        <f t="shared" ref="P15" si="118">K15/100</f>
        <v>6.3E-3</v>
      </c>
      <c r="Q15" s="2886">
        <f t="shared" ref="Q15" si="119">L15/100</f>
        <v>1.1299999999999999E-2</v>
      </c>
      <c r="R15" s="2901"/>
      <c r="S15" s="2902">
        <f>B15/B16-1</f>
        <v>6.0000000000000053E-3</v>
      </c>
      <c r="T15" s="2903">
        <f>C15/C16-1</f>
        <v>3.7000000000000366E-3</v>
      </c>
      <c r="U15" s="2903">
        <f>E15/E16-1</f>
        <v>6.2999999999999723E-3</v>
      </c>
      <c r="V15" s="2903">
        <f>F15/F16-1</f>
        <v>1.1300000000000088E-2</v>
      </c>
      <c r="W15" s="2885"/>
      <c r="X15" s="2885">
        <f>ROUND(IF(项目基本情况!B8="出让",SUMPRODUCT(PRODUCT(1+N15:N$35)),SUMPRODUCT(PRODUCT(1+N15:N$34))),4)</f>
        <v>1.5189999999999999</v>
      </c>
      <c r="Y15" s="2885">
        <f>ROUND(IF(项目基本情况!B8="出让",SUMPRODUCT(PRODUCT(1+O15:O$35)),SUMPRODUCT(PRODUCT(1+O15:O$34))),4)</f>
        <v>1.3423</v>
      </c>
      <c r="Z15" s="2885">
        <f t="shared" ref="Z15" si="120">Y15</f>
        <v>1.3423</v>
      </c>
      <c r="AA15" s="2885">
        <f>ROUND(IF(项目基本情况!B8="出让",SUMPRODUCT(PRODUCT(1+P15:P$35)),SUMPRODUCT(PRODUCT(1+P15:P$34))),4)</f>
        <v>1.5782</v>
      </c>
      <c r="AB15" s="2885">
        <f>ROUND(IF(项目基本情况!B8="出让",SUMPRODUCT(PRODUCT(1+Q15:Q$35)),SUMPRODUCT(PRODUCT(1+Q15:Q$34))),4)</f>
        <v>1.3405</v>
      </c>
      <c r="AC15" s="2885"/>
      <c r="AD15" s="2886">
        <f>ROUND(AVERAGE(I15:I$35)/100,4)</f>
        <v>2.1600000000000001E-2</v>
      </c>
      <c r="AE15" s="2886">
        <f>ROUND(AVERAGE(J15:J$35)/100,4)</f>
        <v>1.5299999999999999E-2</v>
      </c>
      <c r="AF15" s="2886">
        <f t="shared" ref="AF15" si="121">AE15</f>
        <v>1.5299999999999999E-2</v>
      </c>
      <c r="AG15" s="2886">
        <f>ROUND(AVERAGE(K15:K$35)/100,4)</f>
        <v>2.3699999999999999E-2</v>
      </c>
      <c r="AH15" s="2886">
        <f>ROUND(AVERAGE(L15:L$35)/100,4)</f>
        <v>1.47E-2</v>
      </c>
    </row>
    <row r="16" spans="1:34" s="2904" customFormat="1">
      <c r="A16" s="2897" t="s">
        <v>2944</v>
      </c>
      <c r="B16" s="2908">
        <f t="shared" si="101"/>
        <v>464.37293017158942</v>
      </c>
      <c r="C16" s="2908">
        <f t="shared" ref="C16" si="122">C17*(1+O16)</f>
        <v>344.73679941385956</v>
      </c>
      <c r="D16" s="2908">
        <f t="shared" ref="D16" si="123">C16</f>
        <v>344.73679941385956</v>
      </c>
      <c r="E16" s="2908">
        <f t="shared" ref="E16" si="124">E17*(1+P16)</f>
        <v>663.2377795103107</v>
      </c>
      <c r="F16" s="2909">
        <f t="shared" ref="F16" si="125">F17*(1+Q16)</f>
        <v>304.75936311478398</v>
      </c>
      <c r="G16" s="3550">
        <v>2018</v>
      </c>
      <c r="H16" s="2906">
        <v>4</v>
      </c>
      <c r="I16" s="2906">
        <v>0.96</v>
      </c>
      <c r="J16" s="2906">
        <v>1.03</v>
      </c>
      <c r="K16" s="2906">
        <v>0.92</v>
      </c>
      <c r="L16" s="2907">
        <v>1.29</v>
      </c>
      <c r="M16" s="2885"/>
      <c r="N16" s="2900">
        <f t="shared" ref="N16" si="126">I16/100</f>
        <v>9.5999999999999992E-3</v>
      </c>
      <c r="O16" s="2886">
        <f t="shared" ref="O16" si="127">J16/100</f>
        <v>1.03E-2</v>
      </c>
      <c r="P16" s="2886">
        <f t="shared" ref="P16" si="128">K16/100</f>
        <v>9.1999999999999998E-3</v>
      </c>
      <c r="Q16" s="2886">
        <f t="shared" ref="Q16" si="129">L16/100</f>
        <v>1.29E-2</v>
      </c>
      <c r="R16" s="2901"/>
      <c r="S16" s="2910"/>
      <c r="T16" s="2911"/>
      <c r="U16" s="2911"/>
      <c r="V16" s="2911"/>
      <c r="W16" s="2885"/>
      <c r="X16" s="2885">
        <f>ROUND(SUMPRODUCT(PRODUCT(1+N16:N$34)),4)</f>
        <v>1.5099</v>
      </c>
      <c r="Y16" s="2885">
        <f>ROUND(SUMPRODUCT(PRODUCT(1+O16:O$34)),4)</f>
        <v>1.3372999999999999</v>
      </c>
      <c r="Z16" s="2885">
        <f t="shared" ref="Z16" si="130">Y16</f>
        <v>1.3372999999999999</v>
      </c>
      <c r="AA16" s="2885">
        <f>ROUND(SUMPRODUCT(PRODUCT(1+P16:P$34)),4)</f>
        <v>1.5683</v>
      </c>
      <c r="AB16" s="2885">
        <f>ROUND(SUMPRODUCT(PRODUCT(1+Q16:Q$34)),4)</f>
        <v>1.3255999999999999</v>
      </c>
      <c r="AC16" s="2885"/>
      <c r="AD16" s="2886">
        <f>ROUND(AVERAGE(I16:I$35)/100,4)</f>
        <v>2.24E-2</v>
      </c>
      <c r="AE16" s="2886">
        <f>ROUND(AVERAGE(J16:J$35)/100,4)</f>
        <v>1.5800000000000002E-2</v>
      </c>
      <c r="AF16" s="2886">
        <f t="shared" ref="AF16" si="131">AE16</f>
        <v>1.5800000000000002E-2</v>
      </c>
      <c r="AG16" s="2886">
        <f>ROUND(AVERAGE(K16:K$35)/100,4)</f>
        <v>2.4500000000000001E-2</v>
      </c>
      <c r="AH16" s="2886">
        <f>ROUND(AVERAGE(L16:L$35)/100,4)</f>
        <v>1.49E-2</v>
      </c>
    </row>
    <row r="17" spans="1:34" s="2904" customFormat="1" ht="14.45" customHeight="1">
      <c r="A17" s="2897" t="s">
        <v>2937</v>
      </c>
      <c r="B17" s="2898">
        <f t="shared" si="101"/>
        <v>459.95733971036987</v>
      </c>
      <c r="C17" s="2898">
        <f t="shared" ref="C17" si="132">C18*(1+O17)</f>
        <v>341.22221064422405</v>
      </c>
      <c r="D17" s="2898">
        <f t="shared" ref="D17" si="133">C17</f>
        <v>341.22221064422405</v>
      </c>
      <c r="E17" s="2898">
        <f t="shared" ref="E17" si="134">E18*(1+P17)</f>
        <v>657.19161663724799</v>
      </c>
      <c r="F17" s="2898">
        <f t="shared" ref="F17" si="135">F18*(1+Q17)</f>
        <v>300.87803644464805</v>
      </c>
      <c r="G17" s="3550"/>
      <c r="H17" s="2899">
        <v>3</v>
      </c>
      <c r="I17" s="2899">
        <v>1.51</v>
      </c>
      <c r="J17" s="2899">
        <v>1.41</v>
      </c>
      <c r="K17" s="2899">
        <v>1.52</v>
      </c>
      <c r="L17" s="2905">
        <v>1.74</v>
      </c>
      <c r="M17" s="2885"/>
      <c r="N17" s="2900">
        <f t="shared" ref="N17" si="136">I17/100</f>
        <v>1.5100000000000001E-2</v>
      </c>
      <c r="O17" s="2886">
        <f t="shared" ref="O17" si="137">J17/100</f>
        <v>1.41E-2</v>
      </c>
      <c r="P17" s="2886">
        <f t="shared" ref="P17" si="138">K17/100</f>
        <v>1.52E-2</v>
      </c>
      <c r="Q17" s="2886">
        <f t="shared" ref="Q17" si="139">L17/100</f>
        <v>1.7399999999999999E-2</v>
      </c>
      <c r="R17" s="2901"/>
      <c r="S17" s="2900"/>
      <c r="T17" s="2886"/>
      <c r="U17" s="2886"/>
      <c r="V17" s="2886"/>
      <c r="W17" s="2885"/>
      <c r="X17" s="2885">
        <f>ROUND(SUMPRODUCT(PRODUCT(1+N17:N$34)),4)</f>
        <v>1.4956</v>
      </c>
      <c r="Y17" s="2885">
        <f>ROUND(SUMPRODUCT(PRODUCT(1+O17:O$34)),4)</f>
        <v>1.3237000000000001</v>
      </c>
      <c r="Z17" s="2885">
        <f t="shared" ref="Z17" si="140">Y17</f>
        <v>1.3237000000000001</v>
      </c>
      <c r="AA17" s="2885">
        <f>ROUND(SUMPRODUCT(PRODUCT(1+P17:P$34)),4)</f>
        <v>1.554</v>
      </c>
      <c r="AB17" s="2885">
        <f>ROUND(SUMPRODUCT(PRODUCT(1+Q17:Q$34)),4)</f>
        <v>1.3087</v>
      </c>
      <c r="AC17" s="2885"/>
      <c r="AD17" s="2886">
        <f>ROUND(AVERAGE(I17:I$35)/100,4)</f>
        <v>2.3099999999999999E-2</v>
      </c>
      <c r="AE17" s="2886">
        <f>ROUND(AVERAGE(J17:J$35)/100,4)</f>
        <v>1.61E-2</v>
      </c>
      <c r="AF17" s="2886">
        <f t="shared" ref="AF17" si="141">AE17</f>
        <v>1.61E-2</v>
      </c>
      <c r="AG17" s="2886">
        <f>ROUND(AVERAGE(K17:K$35)/100,4)</f>
        <v>2.53E-2</v>
      </c>
      <c r="AH17" s="2886">
        <f>ROUND(AVERAGE(L17:L$35)/100,4)</f>
        <v>1.4999999999999999E-2</v>
      </c>
    </row>
    <row r="18" spans="1:34" s="2904" customFormat="1" ht="14.45" customHeight="1">
      <c r="A18" s="2897" t="s">
        <v>2938</v>
      </c>
      <c r="B18" s="2898">
        <f t="shared" si="101"/>
        <v>453.11529869999993</v>
      </c>
      <c r="C18" s="2898">
        <f t="shared" ref="C18" si="142">C19*(1+O18)</f>
        <v>336.47787264000004</v>
      </c>
      <c r="D18" s="2898">
        <f t="shared" ref="D18" si="143">C18</f>
        <v>336.47787264000004</v>
      </c>
      <c r="E18" s="2898">
        <f t="shared" ref="E18" si="144">E19*(1+P18)</f>
        <v>647.35186823999993</v>
      </c>
      <c r="F18" s="2898">
        <f t="shared" ref="F18" si="145">F19*(1+Q18)</f>
        <v>295.73229452000004</v>
      </c>
      <c r="G18" s="3550"/>
      <c r="H18" s="2912">
        <v>2</v>
      </c>
      <c r="I18" s="2912">
        <v>1.49</v>
      </c>
      <c r="J18" s="2912">
        <v>0.96</v>
      </c>
      <c r="K18" s="2912">
        <v>1.58</v>
      </c>
      <c r="L18" s="2913">
        <v>2.44</v>
      </c>
      <c r="M18" s="2885"/>
      <c r="N18" s="2900">
        <f t="shared" ref="N18" si="146">I18/100</f>
        <v>1.49E-2</v>
      </c>
      <c r="O18" s="2886">
        <f t="shared" ref="O18" si="147">J18/100</f>
        <v>9.5999999999999992E-3</v>
      </c>
      <c r="P18" s="2886">
        <f t="shared" ref="P18" si="148">K18/100</f>
        <v>1.5800000000000002E-2</v>
      </c>
      <c r="Q18" s="2886">
        <f t="shared" ref="Q18" si="149">L18/100</f>
        <v>2.4399999999999998E-2</v>
      </c>
      <c r="R18" s="2901"/>
      <c r="S18" s="2900"/>
      <c r="T18" s="2886"/>
      <c r="U18" s="2886"/>
      <c r="V18" s="2886"/>
      <c r="W18" s="2885"/>
      <c r="X18" s="2885">
        <f>ROUND(SUMPRODUCT(PRODUCT(1+N18:N$34)),4)</f>
        <v>1.4733000000000001</v>
      </c>
      <c r="Y18" s="2885">
        <f>ROUND(SUMPRODUCT(PRODUCT(1+O18:O$34)),4)</f>
        <v>1.3052999999999999</v>
      </c>
      <c r="Z18" s="2885">
        <f t="shared" ref="Z18" si="150">Y18</f>
        <v>1.3052999999999999</v>
      </c>
      <c r="AA18" s="2885">
        <f>ROUND(SUMPRODUCT(PRODUCT(1+P18:P$34)),4)</f>
        <v>1.5306999999999999</v>
      </c>
      <c r="AB18" s="2885">
        <f>ROUND(SUMPRODUCT(PRODUCT(1+Q18:Q$34)),4)</f>
        <v>1.2863</v>
      </c>
      <c r="AC18" s="2885"/>
      <c r="AD18" s="2886">
        <f>ROUND(AVERAGE(I18:I$35)/100,4)</f>
        <v>2.35E-2</v>
      </c>
      <c r="AE18" s="2886">
        <f>ROUND(AVERAGE(J18:J$35)/100,4)</f>
        <v>1.6199999999999999E-2</v>
      </c>
      <c r="AF18" s="2886">
        <f t="shared" ref="AF18" si="151">AE18</f>
        <v>1.6199999999999999E-2</v>
      </c>
      <c r="AG18" s="2886">
        <f>ROUND(AVERAGE(K18:K$35)/100,4)</f>
        <v>2.5899999999999999E-2</v>
      </c>
      <c r="AH18" s="2886">
        <f>ROUND(AVERAGE(L18:L$35)/100,4)</f>
        <v>1.49E-2</v>
      </c>
    </row>
    <row r="19" spans="1:34" s="2904" customFormat="1" ht="15" customHeight="1" thickBot="1">
      <c r="A19" s="2897" t="s">
        <v>2934</v>
      </c>
      <c r="B19" s="2898">
        <f t="shared" si="101"/>
        <v>446.46299999999997</v>
      </c>
      <c r="C19" s="2898">
        <f t="shared" ref="C19" si="152">C20*(1+O19)</f>
        <v>333.27840000000003</v>
      </c>
      <c r="D19" s="2898">
        <f t="shared" ref="D19:D24" si="153">C19</f>
        <v>333.27840000000003</v>
      </c>
      <c r="E19" s="2898">
        <f t="shared" ref="E19" si="154">E20*(1+P19)</f>
        <v>637.28279999999995</v>
      </c>
      <c r="F19" s="2898">
        <f t="shared" ref="F19" si="155">F20*(1+Q19)</f>
        <v>288.68830000000003</v>
      </c>
      <c r="G19" s="3556"/>
      <c r="H19" s="2899">
        <v>1</v>
      </c>
      <c r="I19" s="2899">
        <v>1.7</v>
      </c>
      <c r="J19" s="2899">
        <v>1.92</v>
      </c>
      <c r="K19" s="2899">
        <v>1.64</v>
      </c>
      <c r="L19" s="2905">
        <v>2.0099999999999998</v>
      </c>
      <c r="M19" s="2885"/>
      <c r="N19" s="2900">
        <f t="shared" ref="N19:N24" si="156">I19/100</f>
        <v>1.7000000000000001E-2</v>
      </c>
      <c r="O19" s="2886">
        <f t="shared" ref="O19" si="157">J19/100</f>
        <v>1.9199999999999998E-2</v>
      </c>
      <c r="P19" s="2886">
        <f t="shared" ref="P19" si="158">K19/100</f>
        <v>1.6399999999999998E-2</v>
      </c>
      <c r="Q19" s="2886">
        <f t="shared" ref="Q19" si="159">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ROUND(SUMPRODUCT(PRODUCT(1+N19:N$34)),4)</f>
        <v>1.4517</v>
      </c>
      <c r="Y19" s="2885">
        <f>ROUND(SUMPRODUCT(PRODUCT(1+O19:O$34)),4)</f>
        <v>1.2928999999999999</v>
      </c>
      <c r="Z19" s="2885">
        <f t="shared" ref="Z19" si="160">Y19</f>
        <v>1.2928999999999999</v>
      </c>
      <c r="AA19" s="2885">
        <f>ROUND(SUMPRODUCT(PRODUCT(1+P19:P$34)),4)</f>
        <v>1.5068999999999999</v>
      </c>
      <c r="AB19" s="2885">
        <f>ROUND(SUMPRODUCT(PRODUCT(1+Q19:Q$34)),4)</f>
        <v>1.2557</v>
      </c>
      <c r="AC19" s="2885"/>
      <c r="AD19" s="2886">
        <f>ROUND(AVERAGE(I19:I$35)/100,4)</f>
        <v>2.4E-2</v>
      </c>
      <c r="AE19" s="2886">
        <f>ROUND(AVERAGE(J19:J$35)/100,4)</f>
        <v>1.66E-2</v>
      </c>
      <c r="AF19" s="2886">
        <f t="shared" ref="AF19" si="161">AE19</f>
        <v>1.66E-2</v>
      </c>
      <c r="AG19" s="2886">
        <f>ROUND(AVERAGE(K19:K$35)/100,4)</f>
        <v>2.6499999999999999E-2</v>
      </c>
      <c r="AH19" s="2886">
        <f>ROUND(AVERAGE(L19:L$35)/100,4)</f>
        <v>1.43E-2</v>
      </c>
    </row>
    <row r="20" spans="1:34">
      <c r="A20" s="2897" t="s">
        <v>2926</v>
      </c>
      <c r="B20" s="2914">
        <v>439</v>
      </c>
      <c r="C20" s="2914">
        <v>327</v>
      </c>
      <c r="D20" s="2914">
        <f t="shared" si="153"/>
        <v>327</v>
      </c>
      <c r="E20" s="2914">
        <v>627</v>
      </c>
      <c r="F20" s="2915">
        <v>283</v>
      </c>
      <c r="G20" s="3555">
        <v>2017</v>
      </c>
      <c r="H20" s="2906">
        <v>4</v>
      </c>
      <c r="I20" s="2906">
        <v>1.71</v>
      </c>
      <c r="J20" s="2906">
        <v>1.78</v>
      </c>
      <c r="K20" s="2906">
        <v>1.71</v>
      </c>
      <c r="L20" s="2907">
        <v>1.43</v>
      </c>
      <c r="N20" s="2916">
        <f t="shared" si="156"/>
        <v>1.7100000000000001E-2</v>
      </c>
      <c r="O20" s="2917">
        <f t="shared" ref="O20" si="162">J20/100</f>
        <v>1.78E-2</v>
      </c>
      <c r="P20" s="2917">
        <f t="shared" ref="P20" si="163">K20/100</f>
        <v>1.7100000000000001E-2</v>
      </c>
      <c r="Q20" s="2917">
        <f t="shared" ref="Q20" si="164">L20/100</f>
        <v>1.43E-2</v>
      </c>
      <c r="R20" s="2901"/>
      <c r="S20" s="2910"/>
      <c r="T20" s="2911"/>
      <c r="U20" s="2911"/>
      <c r="V20" s="2911"/>
      <c r="X20" s="2885">
        <f>ROUND(SUMPRODUCT(PRODUCT(1+N20:N$34)),4)</f>
        <v>1.4274</v>
      </c>
      <c r="Y20" s="2885">
        <f>ROUND(SUMPRODUCT(PRODUCT(1+O20:O$34)),4)</f>
        <v>1.2685</v>
      </c>
      <c r="Z20" s="2885">
        <f t="shared" si="0"/>
        <v>1.2685</v>
      </c>
      <c r="AA20" s="2885">
        <f>ROUND(SUMPRODUCT(PRODUCT(1+P20:P$34)),4)</f>
        <v>1.4825999999999999</v>
      </c>
      <c r="AB20" s="2885">
        <f>ROUND(SUMPRODUCT(PRODUCT(1+Q20:Q$34)),4)</f>
        <v>1.2309000000000001</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2929</v>
      </c>
      <c r="B21" s="2898">
        <f t="shared" ref="B21:C23" si="165">B22*(1+N21)</f>
        <v>431.80730811680002</v>
      </c>
      <c r="C21" s="2898">
        <f t="shared" si="165"/>
        <v>320.57880516480003</v>
      </c>
      <c r="D21" s="2898">
        <f t="shared" si="153"/>
        <v>320.57880516480003</v>
      </c>
      <c r="E21" s="2898">
        <f t="shared" ref="E21:F23" si="166">E22*(1+P21)</f>
        <v>615.96110553196797</v>
      </c>
      <c r="F21" s="2898">
        <f t="shared" si="166"/>
        <v>279.46777300108801</v>
      </c>
      <c r="G21" s="3550"/>
      <c r="H21" s="2899">
        <v>3</v>
      </c>
      <c r="I21" s="2899">
        <v>2.98</v>
      </c>
      <c r="J21" s="2899">
        <v>2.11</v>
      </c>
      <c r="K21" s="2899">
        <v>3.24</v>
      </c>
      <c r="L21" s="2905">
        <v>1.72</v>
      </c>
      <c r="M21" s="2885"/>
      <c r="N21" s="2900">
        <f t="shared" si="156"/>
        <v>2.98E-2</v>
      </c>
      <c r="O21" s="2918">
        <f t="shared" ref="O21:O22" si="167">J21/100</f>
        <v>2.1099999999999997E-2</v>
      </c>
      <c r="P21" s="2918">
        <f t="shared" ref="P21:P22" si="168">K21/100</f>
        <v>3.2400000000000005E-2</v>
      </c>
      <c r="Q21" s="2918">
        <f t="shared" ref="Q21:Q22" si="169">L21/100</f>
        <v>1.72E-2</v>
      </c>
      <c r="R21" s="2901"/>
      <c r="S21" s="2900"/>
      <c r="T21" s="2886"/>
      <c r="U21" s="2886"/>
      <c r="V21" s="2886"/>
      <c r="W21" s="2885"/>
      <c r="X21" s="2885">
        <f>ROUND(SUMPRODUCT(PRODUCT(1+N21:N$34)),4)</f>
        <v>1.4034</v>
      </c>
      <c r="Y21" s="2885">
        <f>ROUND(SUMPRODUCT(PRODUCT(1+O21:O$34)),4)</f>
        <v>1.2463</v>
      </c>
      <c r="Z21" s="2885">
        <f t="shared" si="0"/>
        <v>1.2463</v>
      </c>
      <c r="AA21" s="2885">
        <f>ROUND(SUMPRODUCT(PRODUCT(1+P21:P$34)),4)</f>
        <v>1.4577</v>
      </c>
      <c r="AB21" s="2885">
        <f>ROUND(SUMPRODUCT(PRODUCT(1+Q21:Q$34)),4)</f>
        <v>1.2136</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2560</v>
      </c>
      <c r="B22" s="2898">
        <f t="shared" si="165"/>
        <v>419.31181600000002</v>
      </c>
      <c r="C22" s="2898">
        <f t="shared" si="165"/>
        <v>313.95436800000004</v>
      </c>
      <c r="D22" s="2898">
        <f t="shared" si="153"/>
        <v>313.95436800000004</v>
      </c>
      <c r="E22" s="2898">
        <f t="shared" si="166"/>
        <v>596.63028431999999</v>
      </c>
      <c r="F22" s="2898">
        <f t="shared" si="166"/>
        <v>274.74220703999998</v>
      </c>
      <c r="G22" s="3550"/>
      <c r="H22" s="2912">
        <v>2</v>
      </c>
      <c r="I22" s="2912">
        <v>3.4</v>
      </c>
      <c r="J22" s="2912">
        <v>2</v>
      </c>
      <c r="K22" s="2912">
        <v>3.82</v>
      </c>
      <c r="L22" s="2913">
        <v>1.68</v>
      </c>
      <c r="N22" s="2900">
        <f t="shared" si="156"/>
        <v>3.4000000000000002E-2</v>
      </c>
      <c r="O22" s="2918">
        <f t="shared" si="167"/>
        <v>0.02</v>
      </c>
      <c r="P22" s="2918">
        <f t="shared" si="168"/>
        <v>3.8199999999999998E-2</v>
      </c>
      <c r="Q22" s="2918">
        <f t="shared" si="169"/>
        <v>1.6799999999999999E-2</v>
      </c>
      <c r="S22" s="2900"/>
      <c r="T22" s="2886"/>
      <c r="U22" s="2886"/>
      <c r="V22" s="2886"/>
      <c r="X22" s="2885">
        <f>ROUND(SUMPRODUCT(PRODUCT(1+N22:N$34)),4)</f>
        <v>1.3628</v>
      </c>
      <c r="Y22" s="2885">
        <f>ROUND(SUMPRODUCT(PRODUCT(1+O22:O$34)),4)</f>
        <v>1.2205999999999999</v>
      </c>
      <c r="Z22" s="2885">
        <f t="shared" si="0"/>
        <v>1.2205999999999999</v>
      </c>
      <c r="AA22" s="2885">
        <f>ROUND(SUMPRODUCT(PRODUCT(1+P22:P$34)),4)</f>
        <v>1.4118999999999999</v>
      </c>
      <c r="AB22" s="2885">
        <f>ROUND(SUMPRODUCT(PRODUCT(1+Q22:Q$34)),4)</f>
        <v>1.1930000000000001</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2561</v>
      </c>
      <c r="B23" s="2898">
        <f t="shared" si="165"/>
        <v>405.524</v>
      </c>
      <c r="C23" s="2898">
        <f t="shared" si="165"/>
        <v>307.79840000000002</v>
      </c>
      <c r="D23" s="2898">
        <f t="shared" si="153"/>
        <v>307.79840000000002</v>
      </c>
      <c r="E23" s="2898">
        <f t="shared" si="166"/>
        <v>574.67759999999998</v>
      </c>
      <c r="F23" s="2898">
        <f t="shared" si="166"/>
        <v>270.20280000000002</v>
      </c>
      <c r="G23" s="3556"/>
      <c r="H23" s="2899">
        <v>1</v>
      </c>
      <c r="I23" s="2899">
        <v>3.45</v>
      </c>
      <c r="J23" s="2899">
        <v>1.92</v>
      </c>
      <c r="K23" s="2899">
        <v>3.92</v>
      </c>
      <c r="L23" s="2905">
        <v>1.58</v>
      </c>
      <c r="M23" s="2885"/>
      <c r="N23" s="2902">
        <f t="shared" si="156"/>
        <v>3.4500000000000003E-2</v>
      </c>
      <c r="O23" s="2903">
        <f t="shared" ref="O23" si="170">J23/100</f>
        <v>1.9199999999999998E-2</v>
      </c>
      <c r="P23" s="2903">
        <f t="shared" ref="P23" si="171">K23/100</f>
        <v>3.9199999999999999E-2</v>
      </c>
      <c r="Q23" s="2903">
        <f t="shared" ref="Q23" si="172">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ROUND(SUMPRODUCT(PRODUCT(1+N23:N$34)),4)</f>
        <v>1.3180000000000001</v>
      </c>
      <c r="Y23" s="2885">
        <f>ROUND(SUMPRODUCT(PRODUCT(1+O23:O$34)),4)</f>
        <v>1.1966000000000001</v>
      </c>
      <c r="Z23" s="2885">
        <f t="shared" si="0"/>
        <v>1.1966000000000001</v>
      </c>
      <c r="AA23" s="2885">
        <f>ROUND(SUMPRODUCT(PRODUCT(1+P23:P$34)),4)</f>
        <v>1.36</v>
      </c>
      <c r="AB23" s="2885">
        <f>ROUND(SUMPRODUCT(PRODUCT(1+Q23:Q$34)),4)</f>
        <v>1.1733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960</v>
      </c>
      <c r="B24" s="2919">
        <v>392</v>
      </c>
      <c r="C24" s="2919">
        <v>302</v>
      </c>
      <c r="D24" s="2919">
        <f t="shared" si="153"/>
        <v>302</v>
      </c>
      <c r="E24" s="2919">
        <v>553</v>
      </c>
      <c r="F24" s="2920">
        <v>266</v>
      </c>
      <c r="G24" s="3555">
        <v>2016</v>
      </c>
      <c r="H24" s="2906">
        <v>4</v>
      </c>
      <c r="I24" s="2906">
        <v>4.5599999999999996</v>
      </c>
      <c r="J24" s="2906">
        <v>2.15</v>
      </c>
      <c r="K24" s="2906">
        <v>5.32</v>
      </c>
      <c r="L24" s="2907">
        <v>1.57</v>
      </c>
      <c r="N24" s="2900">
        <f t="shared" si="156"/>
        <v>4.5599999999999995E-2</v>
      </c>
      <c r="O24" s="2886">
        <f t="shared" ref="O24:Q39" si="173">J24/100</f>
        <v>2.1499999999999998E-2</v>
      </c>
      <c r="P24" s="2886">
        <f t="shared" si="173"/>
        <v>5.3200000000000004E-2</v>
      </c>
      <c r="Q24" s="2886">
        <f t="shared" si="173"/>
        <v>1.5700000000000002E-2</v>
      </c>
      <c r="R24" s="2901"/>
      <c r="S24" s="2910"/>
      <c r="T24" s="2911"/>
      <c r="U24" s="2911"/>
      <c r="V24" s="2911"/>
      <c r="X24" s="2885">
        <f>ROUND(SUMPRODUCT(PRODUCT(1+N24:N$34)),4)</f>
        <v>1.274</v>
      </c>
      <c r="Y24" s="2885">
        <f>ROUND(SUMPRODUCT(PRODUCT(1+O24:O$34)),4)</f>
        <v>1.1740999999999999</v>
      </c>
      <c r="Z24" s="2885">
        <f t="shared" si="0"/>
        <v>1.1740999999999999</v>
      </c>
      <c r="AA24" s="2885">
        <f>ROUND(SUMPRODUCT(PRODUCT(1+P24:P$34)),4)</f>
        <v>1.3087</v>
      </c>
      <c r="AB24" s="2885">
        <f>ROUND(SUMPRODUCT(PRODUCT(1+Q24:Q$34)),4)</f>
        <v>1.1551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959</v>
      </c>
      <c r="B25" s="2898">
        <f t="shared" ref="B25:C27" si="174">B24/(1+N24)</f>
        <v>374.90436113236416</v>
      </c>
      <c r="C25" s="2898">
        <f t="shared" si="174"/>
        <v>295.64366128242779</v>
      </c>
      <c r="D25" s="2898">
        <f t="shared" ref="D25:D84" si="175">C25</f>
        <v>295.64366128242779</v>
      </c>
      <c r="E25" s="2898">
        <f t="shared" ref="E25:F27" si="176">E24/(1+P24)</f>
        <v>525.06646410938095</v>
      </c>
      <c r="F25" s="2898">
        <f t="shared" si="176"/>
        <v>261.88835286009646</v>
      </c>
      <c r="G25" s="3550"/>
      <c r="H25" s="2899">
        <v>3</v>
      </c>
      <c r="I25" s="2899">
        <v>4.12</v>
      </c>
      <c r="J25" s="2899">
        <v>2</v>
      </c>
      <c r="K25" s="2899">
        <v>4.79</v>
      </c>
      <c r="L25" s="2905">
        <v>1.97</v>
      </c>
      <c r="N25" s="2900">
        <f t="shared" ref="N25:Q59" si="177">I25/100</f>
        <v>4.1200000000000001E-2</v>
      </c>
      <c r="O25" s="2886">
        <f t="shared" si="173"/>
        <v>0.02</v>
      </c>
      <c r="P25" s="2886">
        <f t="shared" si="173"/>
        <v>4.7899999999999998E-2</v>
      </c>
      <c r="Q25" s="2886">
        <f t="shared" si="173"/>
        <v>1.9699999999999999E-2</v>
      </c>
      <c r="R25" s="2901"/>
      <c r="S25" s="2900"/>
      <c r="T25" s="2886"/>
      <c r="U25" s="2886"/>
      <c r="V25" s="2886"/>
      <c r="X25" s="2885">
        <f>ROUND(SUMPRODUCT(PRODUCT(1+N25:N$34)),4)</f>
        <v>1.2184999999999999</v>
      </c>
      <c r="Y25" s="2885">
        <f>ROUND(SUMPRODUCT(PRODUCT(1+O25:O$34)),4)</f>
        <v>1.1494</v>
      </c>
      <c r="Z25" s="2885">
        <f t="shared" si="0"/>
        <v>1.1494</v>
      </c>
      <c r="AA25" s="2885">
        <f>ROUND(SUMPRODUCT(PRODUCT(1+P25:P$34)),4)</f>
        <v>1.2425999999999999</v>
      </c>
      <c r="AB25" s="2885">
        <f>ROUND(SUMPRODUCT(PRODUCT(1+Q25:Q$34)),4)</f>
        <v>1.1372</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949</v>
      </c>
      <c r="B26" s="2898">
        <f t="shared" si="174"/>
        <v>360.06949782209392</v>
      </c>
      <c r="C26" s="2898">
        <f t="shared" si="174"/>
        <v>289.84672674747821</v>
      </c>
      <c r="D26" s="2898">
        <f t="shared" si="175"/>
        <v>289.84672674747821</v>
      </c>
      <c r="E26" s="2898">
        <f t="shared" si="176"/>
        <v>501.06543001181495</v>
      </c>
      <c r="F26" s="2898">
        <f t="shared" si="176"/>
        <v>256.82882500744967</v>
      </c>
      <c r="G26" s="3550"/>
      <c r="H26" s="2912">
        <v>2</v>
      </c>
      <c r="I26" s="2912">
        <v>3.85</v>
      </c>
      <c r="J26" s="2912">
        <v>1.95</v>
      </c>
      <c r="K26" s="2912">
        <v>4.4800000000000004</v>
      </c>
      <c r="L26" s="2913">
        <v>1.41</v>
      </c>
      <c r="N26" s="2900">
        <f t="shared" si="177"/>
        <v>3.85E-2</v>
      </c>
      <c r="O26" s="2886">
        <f t="shared" si="173"/>
        <v>1.95E-2</v>
      </c>
      <c r="P26" s="2886">
        <f t="shared" si="173"/>
        <v>4.4800000000000006E-2</v>
      </c>
      <c r="Q26" s="2886">
        <f t="shared" si="173"/>
        <v>1.41E-2</v>
      </c>
      <c r="R26" s="2901"/>
      <c r="S26" s="2900"/>
      <c r="T26" s="2886"/>
      <c r="U26" s="2886"/>
      <c r="V26" s="2886"/>
      <c r="X26" s="2885">
        <f>ROUND(SUMPRODUCT(PRODUCT(1+N26:N$34)),4)</f>
        <v>1.1702999999999999</v>
      </c>
      <c r="Y26" s="2885">
        <f>ROUND(SUMPRODUCT(PRODUCT(1+O26:O$34)),4)</f>
        <v>1.1269</v>
      </c>
      <c r="Z26" s="2885">
        <f t="shared" si="0"/>
        <v>1.1269</v>
      </c>
      <c r="AA26" s="2885">
        <f>ROUND(SUMPRODUCT(PRODUCT(1+P26:P$34)),4)</f>
        <v>1.1858</v>
      </c>
      <c r="AB26" s="2885">
        <f>ROUND(SUMPRODUCT(PRODUCT(1+Q26:Q$34)),4)</f>
        <v>1.1152</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958</v>
      </c>
      <c r="B27" s="2898">
        <f t="shared" si="174"/>
        <v>346.720748986128</v>
      </c>
      <c r="C27" s="2898">
        <f t="shared" si="174"/>
        <v>284.30282172386285</v>
      </c>
      <c r="D27" s="2898">
        <f t="shared" si="175"/>
        <v>284.30282172386285</v>
      </c>
      <c r="E27" s="2898">
        <f t="shared" si="176"/>
        <v>479.58023546306947</v>
      </c>
      <c r="F27" s="2898">
        <f t="shared" si="176"/>
        <v>253.25788877571213</v>
      </c>
      <c r="G27" s="3551"/>
      <c r="H27" s="2899">
        <v>1</v>
      </c>
      <c r="I27" s="2899">
        <v>4.09</v>
      </c>
      <c r="J27" s="2899">
        <v>2.93</v>
      </c>
      <c r="K27" s="2899">
        <v>4.54</v>
      </c>
      <c r="L27" s="2905">
        <v>1.48</v>
      </c>
      <c r="N27" s="2900">
        <f t="shared" si="177"/>
        <v>4.0899999999999999E-2</v>
      </c>
      <c r="O27" s="2886">
        <f t="shared" si="173"/>
        <v>2.9300000000000003E-2</v>
      </c>
      <c r="P27" s="2886">
        <f t="shared" si="173"/>
        <v>4.5400000000000003E-2</v>
      </c>
      <c r="Q27" s="2886">
        <f t="shared" si="173"/>
        <v>1.4800000000000001E-2</v>
      </c>
      <c r="R27" s="2901"/>
      <c r="S27" s="2902">
        <f>B27/B28-1</f>
        <v>4.1203450408792808E-2</v>
      </c>
      <c r="T27" s="2903">
        <f>C27/C28-1</f>
        <v>2.6363977342465095E-2</v>
      </c>
      <c r="U27" s="2903">
        <f>E27/E28-1</f>
        <v>4.4837114298626357E-2</v>
      </c>
      <c r="V27" s="2903">
        <f>F27/F28-1</f>
        <v>1.7099954922538574E-2</v>
      </c>
      <c r="X27" s="2885">
        <f>ROUND(SUMPRODUCT(PRODUCT(1+N27:N$34)),4)</f>
        <v>1.1269</v>
      </c>
      <c r="Y27" s="2885">
        <f>ROUND(SUMPRODUCT(PRODUCT(1+O27:O$34)),4)</f>
        <v>1.1052999999999999</v>
      </c>
      <c r="Z27" s="2885">
        <f t="shared" si="0"/>
        <v>1.1052999999999999</v>
      </c>
      <c r="AA27" s="2885">
        <f>ROUND(SUMPRODUCT(PRODUCT(1+P27:P$34)),4)</f>
        <v>1.1349</v>
      </c>
      <c r="AB27" s="2885">
        <f>ROUND(SUMPRODUCT(PRODUCT(1+Q27:Q$34)),4)</f>
        <v>1.0996999999999999</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957</v>
      </c>
      <c r="B28" s="2919">
        <v>333</v>
      </c>
      <c r="C28" s="2919">
        <v>277</v>
      </c>
      <c r="D28" s="2919">
        <f t="shared" si="175"/>
        <v>277</v>
      </c>
      <c r="E28" s="2919">
        <v>459</v>
      </c>
      <c r="F28" s="2920">
        <v>249</v>
      </c>
      <c r="G28" s="3549">
        <v>2015</v>
      </c>
      <c r="H28" s="2921">
        <v>4</v>
      </c>
      <c r="I28" s="2921">
        <v>1.63</v>
      </c>
      <c r="J28" s="2921">
        <v>1.1100000000000001</v>
      </c>
      <c r="K28" s="2921">
        <v>1.77</v>
      </c>
      <c r="L28" s="2922">
        <v>1.89</v>
      </c>
      <c r="N28" s="2916">
        <f t="shared" si="177"/>
        <v>1.6299999999999999E-2</v>
      </c>
      <c r="O28" s="2917">
        <f t="shared" si="173"/>
        <v>1.11E-2</v>
      </c>
      <c r="P28" s="2917">
        <f t="shared" si="173"/>
        <v>1.77E-2</v>
      </c>
      <c r="Q28" s="2917">
        <f t="shared" si="173"/>
        <v>1.89E-2</v>
      </c>
      <c r="R28" s="2901"/>
      <c r="X28" s="2885">
        <f>ROUND(SUMPRODUCT(PRODUCT(1+N28:N$34)),4)</f>
        <v>1.0826</v>
      </c>
      <c r="Y28" s="2885">
        <f>ROUND(SUMPRODUCT(PRODUCT(1+O28:O$34)),4)</f>
        <v>1.0738000000000001</v>
      </c>
      <c r="Z28" s="2885">
        <f t="shared" si="0"/>
        <v>1.0738000000000001</v>
      </c>
      <c r="AA28" s="2885">
        <f>ROUND(SUMPRODUCT(PRODUCT(1+P28:P$34)),4)</f>
        <v>1.0855999999999999</v>
      </c>
      <c r="AB28" s="2885">
        <f>ROUND(SUMPRODUCT(PRODUCT(1+Q28:Q$34)),4)</f>
        <v>1.0837000000000001</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956</v>
      </c>
      <c r="B29" s="2898">
        <f t="shared" ref="B29:C31" si="178">B28/(1+N28)</f>
        <v>327.65915576109415</v>
      </c>
      <c r="C29" s="2898">
        <f t="shared" si="178"/>
        <v>273.95905449510434</v>
      </c>
      <c r="D29" s="2898">
        <f t="shared" si="175"/>
        <v>273.95905449510434</v>
      </c>
      <c r="E29" s="2898">
        <f t="shared" ref="E29:F31" si="179">E28/(1+P28)</f>
        <v>451.01699911565294</v>
      </c>
      <c r="F29" s="2898">
        <f t="shared" si="179"/>
        <v>244.38119540681129</v>
      </c>
      <c r="G29" s="3550"/>
      <c r="H29" s="2924">
        <v>3</v>
      </c>
      <c r="I29" s="2924">
        <v>1.65</v>
      </c>
      <c r="J29" s="2924">
        <v>0.92</v>
      </c>
      <c r="K29" s="2924">
        <v>1.88</v>
      </c>
      <c r="L29" s="2925">
        <v>1.26</v>
      </c>
      <c r="N29" s="2900">
        <f t="shared" si="177"/>
        <v>1.6500000000000001E-2</v>
      </c>
      <c r="O29" s="2918">
        <f t="shared" si="173"/>
        <v>9.1999999999999998E-3</v>
      </c>
      <c r="P29" s="2918">
        <f t="shared" si="173"/>
        <v>1.8799999999999997E-2</v>
      </c>
      <c r="Q29" s="2918">
        <f t="shared" si="173"/>
        <v>1.26E-2</v>
      </c>
      <c r="R29" s="2901"/>
      <c r="S29" s="2900"/>
      <c r="T29" s="2886"/>
      <c r="U29" s="2886"/>
      <c r="V29" s="2886"/>
      <c r="X29" s="2885">
        <f>ROUND(SUMPRODUCT(PRODUCT(1+N29:N$34)),4)</f>
        <v>1.0651999999999999</v>
      </c>
      <c r="Y29" s="2885">
        <f>ROUND(SUMPRODUCT(PRODUCT(1+O29:O$34)),4)</f>
        <v>1.0621</v>
      </c>
      <c r="Z29" s="2885">
        <f t="shared" si="0"/>
        <v>1.0621</v>
      </c>
      <c r="AA29" s="2885">
        <f>ROUND(SUMPRODUCT(PRODUCT(1+P29:P$34)),4)</f>
        <v>1.0668</v>
      </c>
      <c r="AB29" s="2885">
        <f>ROUND(SUMPRODUCT(PRODUCT(1+Q29:Q$34)),4)</f>
        <v>1.0636000000000001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955</v>
      </c>
      <c r="B30" s="2898">
        <f t="shared" si="178"/>
        <v>322.34053690220776</v>
      </c>
      <c r="C30" s="2898">
        <f t="shared" si="178"/>
        <v>271.46160770422546</v>
      </c>
      <c r="D30" s="2898">
        <f t="shared" si="175"/>
        <v>271.46160770422546</v>
      </c>
      <c r="E30" s="2898">
        <f t="shared" si="179"/>
        <v>442.69434542172456</v>
      </c>
      <c r="F30" s="2898">
        <f t="shared" si="179"/>
        <v>241.34030753190925</v>
      </c>
      <c r="G30" s="3550"/>
      <c r="H30" s="2912">
        <v>2</v>
      </c>
      <c r="I30" s="2912">
        <v>0.77</v>
      </c>
      <c r="J30" s="2912">
        <v>0.69</v>
      </c>
      <c r="K30" s="2912">
        <v>0.8</v>
      </c>
      <c r="L30" s="2913">
        <v>0.88</v>
      </c>
      <c r="N30" s="2900">
        <f t="shared" si="177"/>
        <v>7.7000000000000002E-3</v>
      </c>
      <c r="O30" s="2918">
        <f t="shared" si="173"/>
        <v>6.8999999999999999E-3</v>
      </c>
      <c r="P30" s="2918">
        <f t="shared" si="173"/>
        <v>8.0000000000000002E-3</v>
      </c>
      <c r="Q30" s="2918">
        <f t="shared" si="173"/>
        <v>8.8000000000000005E-3</v>
      </c>
      <c r="R30" s="2901"/>
      <c r="S30" s="2900"/>
      <c r="T30" s="2886"/>
      <c r="U30" s="2886"/>
      <c r="V30" s="2886"/>
      <c r="X30" s="2885">
        <f>ROUND(SUMPRODUCT(PRODUCT(1+N30:N$34)),4)</f>
        <v>1.048</v>
      </c>
      <c r="Y30" s="2885">
        <f>ROUND(SUMPRODUCT(PRODUCT(1+O30:O$34)),4)</f>
        <v>1.0524</v>
      </c>
      <c r="Z30" s="2885">
        <f t="shared" si="0"/>
        <v>1.0524</v>
      </c>
      <c r="AA30" s="2885">
        <f>ROUND(SUMPRODUCT(PRODUCT(1+P30:P$34)),4)</f>
        <v>1.0470999999999999</v>
      </c>
      <c r="AB30" s="2885">
        <f>ROUND(SUMPRODUCT(PRODUCT(1+Q30:Q$34)),4)</f>
        <v>1.0504</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954</v>
      </c>
      <c r="B31" s="2898">
        <f t="shared" si="178"/>
        <v>319.87748030386797</v>
      </c>
      <c r="C31" s="2898">
        <f t="shared" si="178"/>
        <v>269.60135833173649</v>
      </c>
      <c r="D31" s="2898">
        <f t="shared" si="175"/>
        <v>269.60135833173649</v>
      </c>
      <c r="E31" s="2898">
        <f t="shared" si="179"/>
        <v>439.18089823583784</v>
      </c>
      <c r="F31" s="2898">
        <f t="shared" si="179"/>
        <v>239.23503918706311</v>
      </c>
      <c r="G31" s="3551"/>
      <c r="H31" s="2899">
        <v>1</v>
      </c>
      <c r="I31" s="2899">
        <v>0.51</v>
      </c>
      <c r="J31" s="2899">
        <v>0.54</v>
      </c>
      <c r="K31" s="2899">
        <v>0.48</v>
      </c>
      <c r="L31" s="2905">
        <v>0.93</v>
      </c>
      <c r="N31" s="2902">
        <f t="shared" si="177"/>
        <v>5.1000000000000004E-3</v>
      </c>
      <c r="O31" s="2903">
        <f t="shared" si="173"/>
        <v>5.4000000000000003E-3</v>
      </c>
      <c r="P31" s="2903">
        <f t="shared" si="173"/>
        <v>4.7999999999999996E-3</v>
      </c>
      <c r="Q31" s="2903">
        <f t="shared" si="173"/>
        <v>9.300000000000001E-3</v>
      </c>
      <c r="R31" s="2901"/>
      <c r="S31" s="2902">
        <f>B31/B32-1</f>
        <v>5.9040261127922822E-3</v>
      </c>
      <c r="T31" s="2903">
        <f>C31/C32-1</f>
        <v>5.9752176557332781E-3</v>
      </c>
      <c r="U31" s="2903">
        <f>E31/E32-1</f>
        <v>4.9906138119859556E-3</v>
      </c>
      <c r="V31" s="2903">
        <f>F31/F32-1</f>
        <v>9.4305450930933787E-3</v>
      </c>
      <c r="X31" s="2885">
        <f>ROUND(SUMPRODUCT(PRODUCT(1+N31:N$34)),4)</f>
        <v>1.0399</v>
      </c>
      <c r="Y31" s="2885">
        <f>ROUND(SUMPRODUCT(PRODUCT(1+O31:O$34)),4)</f>
        <v>1.0451999999999999</v>
      </c>
      <c r="Z31" s="2885">
        <f t="shared" si="0"/>
        <v>1.0451999999999999</v>
      </c>
      <c r="AA31" s="2885">
        <f>ROUND(SUMPRODUCT(PRODUCT(1+P31:P$34)),4)</f>
        <v>1.0387999999999999</v>
      </c>
      <c r="AB31" s="2885">
        <f>ROUND(SUMPRODUCT(PRODUCT(1+Q31:Q$34)),4)</f>
        <v>1.0411999999999999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953</v>
      </c>
      <c r="B32" s="2926">
        <v>318</v>
      </c>
      <c r="C32" s="2926">
        <v>268</v>
      </c>
      <c r="D32" s="2926">
        <f t="shared" si="175"/>
        <v>268</v>
      </c>
      <c r="E32" s="2926">
        <v>437</v>
      </c>
      <c r="F32" s="2927">
        <v>237</v>
      </c>
      <c r="G32" s="3549">
        <v>2014</v>
      </c>
      <c r="H32" s="2921">
        <v>4</v>
      </c>
      <c r="I32" s="2921">
        <v>0.21</v>
      </c>
      <c r="J32" s="2921">
        <v>0.41</v>
      </c>
      <c r="K32" s="2921">
        <v>0.12</v>
      </c>
      <c r="L32" s="2922">
        <v>0.89</v>
      </c>
      <c r="N32" s="2900">
        <f t="shared" si="177"/>
        <v>2.0999999999999999E-3</v>
      </c>
      <c r="O32" s="2886">
        <f t="shared" si="173"/>
        <v>4.0999999999999995E-3</v>
      </c>
      <c r="P32" s="2886">
        <f t="shared" si="173"/>
        <v>1.1999999999999999E-3</v>
      </c>
      <c r="Q32" s="2886">
        <f t="shared" si="173"/>
        <v>8.8999999999999999E-3</v>
      </c>
      <c r="R32" s="2901"/>
      <c r="S32" s="2910"/>
      <c r="T32" s="2911"/>
      <c r="U32" s="2911"/>
      <c r="V32" s="2911"/>
      <c r="X32" s="2885">
        <f>ROUND(SUMPRODUCT(PRODUCT(1+N32:N$34)),4)</f>
        <v>1.0347</v>
      </c>
      <c r="Y32" s="2885">
        <f>ROUND(SUMPRODUCT(PRODUCT(1+O32:O$34)),4)</f>
        <v>1.0395000000000001</v>
      </c>
      <c r="Z32" s="2885">
        <f t="shared" si="0"/>
        <v>1.0395000000000001</v>
      </c>
      <c r="AA32" s="2885">
        <f>ROUND(SUMPRODUCT(PRODUCT(1+P32:P$34)),4)</f>
        <v>1.0338000000000001</v>
      </c>
      <c r="AB32" s="2885">
        <f>ROUND(SUMPRODUCT(PRODUCT(1+Q32:Q$34)),4)</f>
        <v>1.0316000000000001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952</v>
      </c>
      <c r="B33" s="2898">
        <f t="shared" ref="B33:C35" si="180">B32/(1+N32)</f>
        <v>317.33359944117353</v>
      </c>
      <c r="C33" s="2898">
        <f t="shared" si="180"/>
        <v>266.90568668459315</v>
      </c>
      <c r="D33" s="2898">
        <f t="shared" si="175"/>
        <v>266.90568668459315</v>
      </c>
      <c r="E33" s="2898">
        <f t="shared" ref="E33:F35" si="181">E32/(1+P32)</f>
        <v>436.47622852576905</v>
      </c>
      <c r="F33" s="2898">
        <f t="shared" si="181"/>
        <v>234.90930716622066</v>
      </c>
      <c r="G33" s="3550"/>
      <c r="H33" s="2928">
        <v>3</v>
      </c>
      <c r="I33" s="2928">
        <v>0.83</v>
      </c>
      <c r="J33" s="2928">
        <v>1.47</v>
      </c>
      <c r="K33" s="2928">
        <v>0.65</v>
      </c>
      <c r="L33" s="2929">
        <v>0.72</v>
      </c>
      <c r="N33" s="2900">
        <f t="shared" si="177"/>
        <v>8.3000000000000001E-3</v>
      </c>
      <c r="O33" s="2886">
        <f t="shared" si="173"/>
        <v>1.47E-2</v>
      </c>
      <c r="P33" s="2886">
        <f t="shared" si="173"/>
        <v>6.5000000000000006E-3</v>
      </c>
      <c r="Q33" s="2886">
        <f t="shared" si="173"/>
        <v>7.1999999999999998E-3</v>
      </c>
      <c r="R33" s="2901"/>
      <c r="S33" s="2900"/>
      <c r="T33" s="2886"/>
      <c r="U33" s="2886"/>
      <c r="V33" s="2886"/>
      <c r="X33" s="2885">
        <f>ROUND(SUMPRODUCT(PRODUCT(1+N33:N$34)),4)</f>
        <v>1.0325</v>
      </c>
      <c r="Y33" s="2885">
        <f>ROUND(SUMPRODUCT(PRODUCT(1+O33:O$34)),4)</f>
        <v>1.0353000000000001</v>
      </c>
      <c r="Z33" s="2885">
        <f t="shared" ref="Z33:Z34" si="182">Y33</f>
        <v>1.0353000000000001</v>
      </c>
      <c r="AA33" s="2885">
        <f>ROUND(SUMPRODUCT(PRODUCT(1+P33:P$34)),4)</f>
        <v>1.0326</v>
      </c>
      <c r="AB33" s="2885">
        <f>ROUND(SUMPRODUCT(PRODUCT(1+Q33:Q$34)),4)</f>
        <v>1.0225</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951</v>
      </c>
      <c r="B34" s="2898">
        <f t="shared" si="180"/>
        <v>314.72141172386546</v>
      </c>
      <c r="C34" s="2898">
        <f t="shared" si="180"/>
        <v>263.03901319069001</v>
      </c>
      <c r="D34" s="2898">
        <f t="shared" si="175"/>
        <v>263.03901319069001</v>
      </c>
      <c r="E34" s="2898">
        <f t="shared" si="181"/>
        <v>433.65745506782821</v>
      </c>
      <c r="F34" s="2898">
        <f t="shared" si="181"/>
        <v>233.23005080045735</v>
      </c>
      <c r="G34" s="3550"/>
      <c r="H34" s="2921">
        <v>2</v>
      </c>
      <c r="I34" s="2921">
        <v>2.4</v>
      </c>
      <c r="J34" s="2921">
        <v>2.0299999999999998</v>
      </c>
      <c r="K34" s="2921">
        <v>2.59</v>
      </c>
      <c r="L34" s="2922">
        <v>1.52</v>
      </c>
      <c r="N34" s="2900">
        <f t="shared" si="177"/>
        <v>2.4E-2</v>
      </c>
      <c r="O34" s="2886">
        <f t="shared" si="173"/>
        <v>2.0299999999999999E-2</v>
      </c>
      <c r="P34" s="2886">
        <f t="shared" si="173"/>
        <v>2.5899999999999999E-2</v>
      </c>
      <c r="Q34" s="2886">
        <f t="shared" si="173"/>
        <v>1.52E-2</v>
      </c>
      <c r="R34" s="2901"/>
      <c r="S34" s="2900"/>
      <c r="T34" s="2886"/>
      <c r="U34" s="2886"/>
      <c r="V34" s="2886"/>
      <c r="X34" s="2885">
        <f>1+N34</f>
        <v>1.024</v>
      </c>
      <c r="Y34" s="2885">
        <f>1+O34</f>
        <v>1.0203</v>
      </c>
      <c r="Z34" s="2885">
        <f t="shared" si="182"/>
        <v>1.0203</v>
      </c>
      <c r="AA34" s="2885">
        <f>1+P34</f>
        <v>1.0259</v>
      </c>
      <c r="AB34" s="2885">
        <f>1+Q34</f>
        <v>1.0152000000000001</v>
      </c>
      <c r="AD34" s="2886">
        <f>ROUND(AVERAGE(I34:I$35)/100,4)</f>
        <v>2.69E-2</v>
      </c>
      <c r="AE34" s="2886">
        <f>ROUND(AVERAGE(J34:J$35)/100,4)</f>
        <v>2.1899999999999999E-2</v>
      </c>
      <c r="AF34" s="2886">
        <f t="shared" ref="AF34" si="183">AE34</f>
        <v>2.1899999999999999E-2</v>
      </c>
      <c r="AG34" s="2886">
        <f>ROUND(AVERAGE(K34:K$35)/100,4)</f>
        <v>2.9399999999999999E-2</v>
      </c>
      <c r="AH34" s="2886">
        <f>ROUND(AVERAGE(L34:L$35)/100,4)</f>
        <v>1.44E-2</v>
      </c>
    </row>
    <row r="35" spans="1:34" s="2934" customFormat="1" ht="13.5" thickBot="1">
      <c r="A35" s="2930" t="s">
        <v>950</v>
      </c>
      <c r="B35" s="2931">
        <f t="shared" si="180"/>
        <v>307.34512863658733</v>
      </c>
      <c r="C35" s="2931">
        <f t="shared" si="180"/>
        <v>257.80556031626975</v>
      </c>
      <c r="D35" s="2931">
        <f t="shared" si="175"/>
        <v>257.80556031626975</v>
      </c>
      <c r="E35" s="2931">
        <f t="shared" si="181"/>
        <v>422.70928459677179</v>
      </c>
      <c r="F35" s="2931">
        <f t="shared" si="181"/>
        <v>229.73803270336617</v>
      </c>
      <c r="G35" s="3551"/>
      <c r="H35" s="2932">
        <v>1</v>
      </c>
      <c r="I35" s="2932">
        <v>2.97</v>
      </c>
      <c r="J35" s="2932">
        <v>2.34</v>
      </c>
      <c r="K35" s="2932">
        <v>3.28</v>
      </c>
      <c r="L35" s="2933">
        <v>1.36</v>
      </c>
      <c r="N35" s="2935">
        <f t="shared" si="177"/>
        <v>2.9700000000000001E-2</v>
      </c>
      <c r="O35" s="2936">
        <f t="shared" si="173"/>
        <v>2.3399999999999997E-2</v>
      </c>
      <c r="P35" s="2936">
        <f t="shared" si="173"/>
        <v>3.2799999999999996E-2</v>
      </c>
      <c r="Q35" s="2936">
        <f t="shared" si="173"/>
        <v>1.3600000000000001E-2</v>
      </c>
      <c r="R35" s="2937"/>
      <c r="S35" s="2938">
        <f>B35/B36-1</f>
        <v>2.7910129219355539E-2</v>
      </c>
      <c r="T35" s="2939">
        <f>C35/C36-1</f>
        <v>2.3037937762975247E-2</v>
      </c>
      <c r="U35" s="2939">
        <f>E35/E36-1</f>
        <v>3.3519033243940788E-2</v>
      </c>
      <c r="V35" s="2939">
        <f>F35/F36-1</f>
        <v>1.2061818076502862E-2</v>
      </c>
      <c r="W35" s="2940" t="s">
        <v>2619</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2562</v>
      </c>
      <c r="B36" s="2919">
        <v>299</v>
      </c>
      <c r="C36" s="2919">
        <v>252</v>
      </c>
      <c r="D36" s="2919">
        <f t="shared" si="175"/>
        <v>252</v>
      </c>
      <c r="E36" s="2919">
        <v>409</v>
      </c>
      <c r="F36" s="2920">
        <v>227</v>
      </c>
      <c r="G36" s="3552">
        <v>2013</v>
      </c>
      <c r="H36" s="2942">
        <v>4</v>
      </c>
      <c r="I36" s="2942">
        <v>1.83</v>
      </c>
      <c r="J36" s="2942">
        <v>1.68</v>
      </c>
      <c r="K36" s="2942">
        <v>1.97</v>
      </c>
      <c r="L36" s="2943">
        <v>0.87</v>
      </c>
      <c r="N36" s="2916">
        <f t="shared" si="177"/>
        <v>1.83E-2</v>
      </c>
      <c r="O36" s="2917">
        <f t="shared" si="173"/>
        <v>1.6799999999999999E-2</v>
      </c>
      <c r="P36" s="2917">
        <f t="shared" si="173"/>
        <v>1.9699999999999999E-2</v>
      </c>
      <c r="Q36" s="2917">
        <f t="shared" si="173"/>
        <v>8.6999999999999994E-3</v>
      </c>
      <c r="R36" s="2901"/>
      <c r="S36" s="2910"/>
      <c r="T36" s="2911"/>
      <c r="U36" s="2911"/>
      <c r="V36" s="2911"/>
      <c r="X36" s="2911"/>
      <c r="Y36" s="2911"/>
      <c r="Z36" s="2911"/>
    </row>
    <row r="37" spans="1:34">
      <c r="A37" s="2897" t="s">
        <v>2563</v>
      </c>
      <c r="B37" s="2898">
        <f t="shared" ref="B37:C39" si="184">B36/(1+N36)</f>
        <v>293.62663262299913</v>
      </c>
      <c r="C37" s="2898">
        <f t="shared" si="184"/>
        <v>247.83634933123525</v>
      </c>
      <c r="D37" s="2898">
        <f t="shared" si="175"/>
        <v>247.83634933123525</v>
      </c>
      <c r="E37" s="2898">
        <f t="shared" ref="E37:F39" si="185">E36/(1+P36)</f>
        <v>401.09836226341076</v>
      </c>
      <c r="F37" s="2898">
        <f t="shared" si="185"/>
        <v>225.04213343908003</v>
      </c>
      <c r="G37" s="3553"/>
      <c r="H37" s="2924">
        <v>3</v>
      </c>
      <c r="I37" s="2924">
        <v>1.86</v>
      </c>
      <c r="J37" s="2924">
        <v>1.72</v>
      </c>
      <c r="K37" s="2924">
        <v>1.98</v>
      </c>
      <c r="L37" s="2925">
        <v>0.88</v>
      </c>
      <c r="N37" s="2900">
        <f t="shared" si="177"/>
        <v>1.8600000000000002E-2</v>
      </c>
      <c r="O37" s="2918">
        <f t="shared" si="173"/>
        <v>1.72E-2</v>
      </c>
      <c r="P37" s="2918">
        <f t="shared" si="173"/>
        <v>1.9799999999999998E-2</v>
      </c>
      <c r="Q37" s="2918">
        <f t="shared" si="173"/>
        <v>8.8000000000000005E-3</v>
      </c>
      <c r="R37" s="2901"/>
      <c r="S37" s="2900"/>
      <c r="T37" s="2886"/>
      <c r="U37" s="2886"/>
      <c r="V37" s="2886"/>
    </row>
    <row r="38" spans="1:34">
      <c r="A38" s="2897" t="s">
        <v>2564</v>
      </c>
      <c r="B38" s="2898">
        <f t="shared" si="184"/>
        <v>288.2649053828776</v>
      </c>
      <c r="C38" s="2898">
        <f t="shared" si="184"/>
        <v>243.64564425013293</v>
      </c>
      <c r="D38" s="2898">
        <f t="shared" si="175"/>
        <v>243.64564425013293</v>
      </c>
      <c r="E38" s="2898">
        <f t="shared" si="185"/>
        <v>393.31080825986544</v>
      </c>
      <c r="F38" s="2898">
        <f t="shared" si="185"/>
        <v>223.07903790551154</v>
      </c>
      <c r="G38" s="3553"/>
      <c r="H38" s="2912">
        <v>2</v>
      </c>
      <c r="I38" s="2912">
        <v>2.04</v>
      </c>
      <c r="J38" s="2912">
        <v>2.33</v>
      </c>
      <c r="K38" s="2912">
        <v>2.0699999999999998</v>
      </c>
      <c r="L38" s="2913">
        <v>0.69</v>
      </c>
      <c r="N38" s="2900">
        <f t="shared" si="177"/>
        <v>2.0400000000000001E-2</v>
      </c>
      <c r="O38" s="2918">
        <f t="shared" si="173"/>
        <v>2.3300000000000001E-2</v>
      </c>
      <c r="P38" s="2918">
        <f t="shared" si="173"/>
        <v>2.07E-2</v>
      </c>
      <c r="Q38" s="2918">
        <f t="shared" si="173"/>
        <v>6.8999999999999999E-3</v>
      </c>
      <c r="R38" s="2901"/>
      <c r="S38" s="2900"/>
      <c r="T38" s="2886"/>
      <c r="U38" s="2886"/>
      <c r="V38" s="2886"/>
      <c r="X38" s="2944"/>
      <c r="Y38" s="2945"/>
    </row>
    <row r="39" spans="1:34">
      <c r="A39" s="2897" t="s">
        <v>2565</v>
      </c>
      <c r="B39" s="2898">
        <f t="shared" si="184"/>
        <v>282.50186729015837</v>
      </c>
      <c r="C39" s="2898">
        <f t="shared" si="184"/>
        <v>238.09796174155468</v>
      </c>
      <c r="D39" s="2898">
        <f t="shared" si="175"/>
        <v>238.09796174155468</v>
      </c>
      <c r="E39" s="2898">
        <f t="shared" si="185"/>
        <v>385.33438646014054</v>
      </c>
      <c r="F39" s="2898">
        <f t="shared" si="185"/>
        <v>221.55034055567739</v>
      </c>
      <c r="G39" s="3554"/>
      <c r="H39" s="2899">
        <v>1</v>
      </c>
      <c r="I39" s="2899">
        <v>1.67</v>
      </c>
      <c r="J39" s="2899">
        <v>1.31</v>
      </c>
      <c r="K39" s="2899">
        <v>1.85</v>
      </c>
      <c r="L39" s="2905">
        <v>0.96</v>
      </c>
      <c r="N39" s="2902">
        <f t="shared" si="177"/>
        <v>1.67E-2</v>
      </c>
      <c r="O39" s="2903">
        <f t="shared" si="173"/>
        <v>1.3100000000000001E-2</v>
      </c>
      <c r="P39" s="2903">
        <f t="shared" si="173"/>
        <v>1.8500000000000003E-2</v>
      </c>
      <c r="Q39" s="2903">
        <f t="shared" si="173"/>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2566</v>
      </c>
      <c r="B40" s="2947">
        <v>278</v>
      </c>
      <c r="C40" s="2947">
        <v>234</v>
      </c>
      <c r="D40" s="2947">
        <f t="shared" si="175"/>
        <v>234</v>
      </c>
      <c r="E40" s="2947">
        <v>379</v>
      </c>
      <c r="F40" s="2948">
        <v>220</v>
      </c>
      <c r="G40" s="3549">
        <v>2012</v>
      </c>
      <c r="H40" s="2921">
        <v>4</v>
      </c>
      <c r="I40" s="2921">
        <v>0.91</v>
      </c>
      <c r="J40" s="2921">
        <v>0.68</v>
      </c>
      <c r="K40" s="2921">
        <v>0.98</v>
      </c>
      <c r="L40" s="2922">
        <v>0.9</v>
      </c>
      <c r="N40" s="2900">
        <f t="shared" si="177"/>
        <v>9.1000000000000004E-3</v>
      </c>
      <c r="O40" s="2886">
        <f t="shared" si="177"/>
        <v>6.8000000000000005E-3</v>
      </c>
      <c r="P40" s="2886">
        <f t="shared" si="177"/>
        <v>9.7999999999999997E-3</v>
      </c>
      <c r="Q40" s="2886">
        <f t="shared" si="177"/>
        <v>9.0000000000000011E-3</v>
      </c>
      <c r="R40" s="2901"/>
      <c r="S40" s="2910"/>
      <c r="T40" s="2911"/>
      <c r="U40" s="2911"/>
      <c r="V40" s="2911"/>
      <c r="X40" s="2911"/>
      <c r="Y40" s="2911"/>
      <c r="Z40" s="2911"/>
    </row>
    <row r="41" spans="1:34">
      <c r="A41" s="2897" t="s">
        <v>2567</v>
      </c>
      <c r="B41" s="2898">
        <f>B40/(1+N40)</f>
        <v>275.49301357645425</v>
      </c>
      <c r="C41" s="2898">
        <f>C40/(1+O40)</f>
        <v>232.41954707985698</v>
      </c>
      <c r="D41" s="2898">
        <f t="shared" si="175"/>
        <v>232.41954707985698</v>
      </c>
      <c r="E41" s="2898">
        <f t="shared" ref="E41:F43" si="186">E40/(1+P40)</f>
        <v>375.32184591008121</v>
      </c>
      <c r="F41" s="2898">
        <f t="shared" si="186"/>
        <v>218.03766105054513</v>
      </c>
      <c r="G41" s="3550"/>
      <c r="H41" s="2924">
        <v>3</v>
      </c>
      <c r="I41" s="2924">
        <v>0.09</v>
      </c>
      <c r="J41" s="2924">
        <v>0.28999999999999998</v>
      </c>
      <c r="K41" s="2924">
        <v>-0.01</v>
      </c>
      <c r="L41" s="2925">
        <v>0.57999999999999996</v>
      </c>
      <c r="N41" s="2900">
        <f t="shared" si="177"/>
        <v>8.9999999999999998E-4</v>
      </c>
      <c r="O41" s="2886">
        <f t="shared" si="177"/>
        <v>2.8999999999999998E-3</v>
      </c>
      <c r="P41" s="2886">
        <f t="shared" si="177"/>
        <v>-1E-4</v>
      </c>
      <c r="Q41" s="2886">
        <f t="shared" si="177"/>
        <v>5.7999999999999996E-3</v>
      </c>
      <c r="R41" s="2901"/>
      <c r="S41" s="2900"/>
      <c r="T41" s="2886"/>
      <c r="U41" s="2886"/>
      <c r="V41" s="2886"/>
    </row>
    <row r="42" spans="1:34">
      <c r="A42" s="2897" t="s">
        <v>2568</v>
      </c>
      <c r="B42" s="2898">
        <f>B41/(1+N41)</f>
        <v>275.24529281292263</v>
      </c>
      <c r="C42" s="2898">
        <f>C41/(1+O41)</f>
        <v>231.74747938962707</v>
      </c>
      <c r="D42" s="2898">
        <f t="shared" si="175"/>
        <v>231.74747938962707</v>
      </c>
      <c r="E42" s="2898">
        <f t="shared" si="186"/>
        <v>375.35938184826603</v>
      </c>
      <c r="F42" s="2898">
        <f t="shared" si="186"/>
        <v>216.78033510692495</v>
      </c>
      <c r="G42" s="3550"/>
      <c r="H42" s="2912">
        <v>2</v>
      </c>
      <c r="I42" s="2912">
        <v>0.02</v>
      </c>
      <c r="J42" s="2912">
        <v>0.12</v>
      </c>
      <c r="K42" s="2912">
        <v>-0.08</v>
      </c>
      <c r="L42" s="2913">
        <v>1.24</v>
      </c>
      <c r="N42" s="2900">
        <f t="shared" si="177"/>
        <v>2.0000000000000001E-4</v>
      </c>
      <c r="O42" s="2886">
        <f t="shared" si="177"/>
        <v>1.1999999999999999E-3</v>
      </c>
      <c r="P42" s="2886">
        <f t="shared" si="177"/>
        <v>-8.0000000000000004E-4</v>
      </c>
      <c r="Q42" s="2886">
        <f t="shared" si="177"/>
        <v>1.24E-2</v>
      </c>
      <c r="R42" s="2901"/>
      <c r="S42" s="2900"/>
      <c r="T42" s="2886"/>
      <c r="U42" s="2886"/>
      <c r="V42" s="2886"/>
    </row>
    <row r="43" spans="1:34" ht="13.5" thickBot="1">
      <c r="A43" s="2897" t="s">
        <v>2569</v>
      </c>
      <c r="B43" s="2898">
        <f>B42/(1+N42)</f>
        <v>275.19025476197027</v>
      </c>
      <c r="C43" s="2949">
        <v>232</v>
      </c>
      <c r="D43" s="2949">
        <f t="shared" si="175"/>
        <v>232</v>
      </c>
      <c r="E43" s="2898">
        <f t="shared" si="186"/>
        <v>375.65990977608692</v>
      </c>
      <c r="F43" s="2898">
        <f t="shared" si="186"/>
        <v>214.12518283971252</v>
      </c>
      <c r="G43" s="3551"/>
      <c r="H43" s="2899">
        <v>1</v>
      </c>
      <c r="I43" s="2899">
        <v>0.02</v>
      </c>
      <c r="J43" s="2899">
        <v>0.13</v>
      </c>
      <c r="K43" s="2899">
        <v>-0.04</v>
      </c>
      <c r="L43" s="2905">
        <v>0.46</v>
      </c>
      <c r="N43" s="2900">
        <f t="shared" si="177"/>
        <v>2.0000000000000001E-4</v>
      </c>
      <c r="O43" s="2886">
        <f t="shared" si="177"/>
        <v>1.2999999999999999E-3</v>
      </c>
      <c r="P43" s="2886">
        <f t="shared" si="177"/>
        <v>-4.0000000000000002E-4</v>
      </c>
      <c r="Q43" s="2886">
        <f t="shared" si="177"/>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2570</v>
      </c>
      <c r="B44" s="2919">
        <v>275</v>
      </c>
      <c r="C44" s="2919">
        <v>232</v>
      </c>
      <c r="D44" s="2919">
        <f t="shared" si="175"/>
        <v>232</v>
      </c>
      <c r="E44" s="2919">
        <v>376</v>
      </c>
      <c r="F44" s="2920">
        <v>213</v>
      </c>
      <c r="G44" s="3549">
        <v>2011</v>
      </c>
      <c r="H44" s="2921">
        <v>4</v>
      </c>
      <c r="I44" s="2921">
        <v>-0.2</v>
      </c>
      <c r="J44" s="2921">
        <v>0.04</v>
      </c>
      <c r="K44" s="2921">
        <v>-0.34</v>
      </c>
      <c r="L44" s="2922">
        <v>0.46</v>
      </c>
      <c r="N44" s="2916">
        <f t="shared" si="177"/>
        <v>-2E-3</v>
      </c>
      <c r="O44" s="2917">
        <f t="shared" si="177"/>
        <v>4.0000000000000002E-4</v>
      </c>
      <c r="P44" s="2917">
        <f t="shared" si="177"/>
        <v>-3.4000000000000002E-3</v>
      </c>
      <c r="Q44" s="2917">
        <f t="shared" si="177"/>
        <v>4.5999999999999999E-3</v>
      </c>
      <c r="R44" s="2901"/>
      <c r="S44" s="2910"/>
      <c r="T44" s="2911"/>
      <c r="U44" s="2911"/>
      <c r="V44" s="2911"/>
      <c r="X44" s="2911"/>
      <c r="Y44" s="2911"/>
      <c r="Z44" s="2911"/>
    </row>
    <row r="45" spans="1:34">
      <c r="A45" s="2897" t="s">
        <v>2571</v>
      </c>
      <c r="B45" s="2898">
        <f t="shared" ref="B45:C47" si="187">B44/(1+N44)</f>
        <v>275.55110220440883</v>
      </c>
      <c r="C45" s="2898">
        <f t="shared" si="187"/>
        <v>231.90723710515795</v>
      </c>
      <c r="D45" s="2898">
        <f t="shared" si="175"/>
        <v>231.90723710515795</v>
      </c>
      <c r="E45" s="2898">
        <f t="shared" ref="E45:F47" si="188">E44/(1+P44)</f>
        <v>377.28276138872161</v>
      </c>
      <c r="F45" s="2898">
        <f t="shared" si="188"/>
        <v>212.02468644236512</v>
      </c>
      <c r="G45" s="3550">
        <v>2011</v>
      </c>
      <c r="H45" s="2924">
        <v>3</v>
      </c>
      <c r="I45" s="2924">
        <v>0.13</v>
      </c>
      <c r="J45" s="2924">
        <v>0.75</v>
      </c>
      <c r="K45" s="2924">
        <v>-0.08</v>
      </c>
      <c r="L45" s="2925">
        <v>0.53</v>
      </c>
      <c r="N45" s="2900">
        <f t="shared" si="177"/>
        <v>1.2999999999999999E-3</v>
      </c>
      <c r="O45" s="2918">
        <f t="shared" si="177"/>
        <v>7.4999999999999997E-3</v>
      </c>
      <c r="P45" s="2918">
        <f t="shared" si="177"/>
        <v>-8.0000000000000004E-4</v>
      </c>
      <c r="Q45" s="2918">
        <f t="shared" si="177"/>
        <v>5.3E-3</v>
      </c>
      <c r="R45" s="2901"/>
      <c r="S45" s="2900"/>
      <c r="T45" s="2886"/>
      <c r="U45" s="2886"/>
      <c r="V45" s="2886"/>
    </row>
    <row r="46" spans="1:34">
      <c r="A46" s="2897" t="s">
        <v>2572</v>
      </c>
      <c r="B46" s="2898">
        <f t="shared" si="187"/>
        <v>275.19335084830601</v>
      </c>
      <c r="C46" s="2898">
        <f t="shared" si="187"/>
        <v>230.18088050139744</v>
      </c>
      <c r="D46" s="2898">
        <f t="shared" si="175"/>
        <v>230.18088050139744</v>
      </c>
      <c r="E46" s="2898">
        <f t="shared" si="188"/>
        <v>377.58482925212331</v>
      </c>
      <c r="F46" s="2898">
        <f t="shared" si="188"/>
        <v>210.90687997847917</v>
      </c>
      <c r="G46" s="3550">
        <v>2011</v>
      </c>
      <c r="H46" s="2912">
        <v>2</v>
      </c>
      <c r="I46" s="2912">
        <v>-0.4</v>
      </c>
      <c r="J46" s="2912">
        <v>0.17</v>
      </c>
      <c r="K46" s="2912">
        <v>-0.57999999999999996</v>
      </c>
      <c r="L46" s="2913">
        <v>-0.2</v>
      </c>
      <c r="N46" s="2900">
        <f t="shared" si="177"/>
        <v>-4.0000000000000001E-3</v>
      </c>
      <c r="O46" s="2918">
        <f t="shared" si="177"/>
        <v>1.7000000000000001E-3</v>
      </c>
      <c r="P46" s="2918">
        <f t="shared" si="177"/>
        <v>-5.7999999999999996E-3</v>
      </c>
      <c r="Q46" s="2918">
        <f t="shared" si="177"/>
        <v>-2E-3</v>
      </c>
      <c r="R46" s="2901"/>
      <c r="S46" s="2900"/>
      <c r="T46" s="2886"/>
      <c r="U46" s="2886"/>
      <c r="V46" s="2886"/>
    </row>
    <row r="47" spans="1:34" ht="13.5" thickBot="1">
      <c r="A47" s="2897" t="s">
        <v>2573</v>
      </c>
      <c r="B47" s="2898">
        <f t="shared" si="187"/>
        <v>276.29854502841971</v>
      </c>
      <c r="C47" s="2898">
        <f t="shared" si="187"/>
        <v>229.79023709833027</v>
      </c>
      <c r="D47" s="2898">
        <f t="shared" si="175"/>
        <v>229.79023709833027</v>
      </c>
      <c r="E47" s="2898">
        <f t="shared" si="188"/>
        <v>379.78759731655936</v>
      </c>
      <c r="F47" s="2898">
        <f t="shared" si="188"/>
        <v>211.32953905659235</v>
      </c>
      <c r="G47" s="3551">
        <v>2011</v>
      </c>
      <c r="H47" s="2899">
        <v>1</v>
      </c>
      <c r="I47" s="2899">
        <v>2.65</v>
      </c>
      <c r="J47" s="2899">
        <v>3.76</v>
      </c>
      <c r="K47" s="2899">
        <v>1.89</v>
      </c>
      <c r="L47" s="2905">
        <v>7.95</v>
      </c>
      <c r="N47" s="2902">
        <f t="shared" si="177"/>
        <v>2.6499999999999999E-2</v>
      </c>
      <c r="O47" s="2903">
        <f t="shared" si="177"/>
        <v>3.7599999999999995E-2</v>
      </c>
      <c r="P47" s="2903">
        <f t="shared" si="177"/>
        <v>1.89E-2</v>
      </c>
      <c r="Q47" s="2903">
        <f t="shared" si="177"/>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2574</v>
      </c>
      <c r="B48" s="2919">
        <v>269</v>
      </c>
      <c r="C48" s="2919">
        <v>221</v>
      </c>
      <c r="D48" s="2919">
        <f t="shared" si="175"/>
        <v>221</v>
      </c>
      <c r="E48" s="2919">
        <v>373</v>
      </c>
      <c r="F48" s="2920">
        <v>196</v>
      </c>
      <c r="G48" s="3549">
        <v>2010</v>
      </c>
      <c r="H48" s="2921">
        <v>4</v>
      </c>
      <c r="I48" s="2921">
        <v>5.72</v>
      </c>
      <c r="J48" s="2921">
        <v>6.57</v>
      </c>
      <c r="K48" s="2921">
        <v>5.72</v>
      </c>
      <c r="L48" s="2922">
        <v>2.72</v>
      </c>
      <c r="N48" s="2900">
        <f t="shared" si="177"/>
        <v>5.7200000000000001E-2</v>
      </c>
      <c r="O48" s="2886">
        <f t="shared" si="177"/>
        <v>6.5700000000000008E-2</v>
      </c>
      <c r="P48" s="2886">
        <f t="shared" si="177"/>
        <v>5.7200000000000001E-2</v>
      </c>
      <c r="Q48" s="2886">
        <f t="shared" si="177"/>
        <v>2.7200000000000002E-2</v>
      </c>
      <c r="R48" s="2901"/>
      <c r="S48" s="2910"/>
      <c r="T48" s="2911"/>
      <c r="U48" s="2911"/>
      <c r="V48" s="2911"/>
      <c r="X48" s="2911"/>
      <c r="Y48" s="2911"/>
      <c r="Z48" s="2911"/>
    </row>
    <row r="49" spans="1:26">
      <c r="A49" s="2897" t="s">
        <v>2575</v>
      </c>
      <c r="B49" s="2898">
        <f t="shared" ref="B49:C51" si="189">B48/(1+N48)</f>
        <v>254.44570563753314</v>
      </c>
      <c r="C49" s="2898">
        <f t="shared" si="189"/>
        <v>207.37543398705074</v>
      </c>
      <c r="D49" s="2898">
        <f t="shared" si="175"/>
        <v>207.37543398705074</v>
      </c>
      <c r="E49" s="2898">
        <f t="shared" ref="E49:F51" si="190">E48/(1+P48)</f>
        <v>352.81876655315932</v>
      </c>
      <c r="F49" s="2898">
        <f t="shared" si="190"/>
        <v>190.809968847352</v>
      </c>
      <c r="G49" s="3550">
        <v>2010</v>
      </c>
      <c r="H49" s="2924">
        <v>3</v>
      </c>
      <c r="I49" s="2924">
        <v>4.7300000000000004</v>
      </c>
      <c r="J49" s="2924">
        <v>3.9</v>
      </c>
      <c r="K49" s="2924">
        <v>5.03</v>
      </c>
      <c r="L49" s="2925">
        <v>4.21</v>
      </c>
      <c r="N49" s="2900">
        <f t="shared" si="177"/>
        <v>4.7300000000000002E-2</v>
      </c>
      <c r="O49" s="2886">
        <f t="shared" si="177"/>
        <v>3.9E-2</v>
      </c>
      <c r="P49" s="2886">
        <f t="shared" si="177"/>
        <v>5.0300000000000004E-2</v>
      </c>
      <c r="Q49" s="2886">
        <f t="shared" si="177"/>
        <v>4.2099999999999999E-2</v>
      </c>
      <c r="R49" s="2901"/>
      <c r="S49" s="2900"/>
      <c r="T49" s="2886"/>
      <c r="U49" s="2886"/>
      <c r="V49" s="2886"/>
    </row>
    <row r="50" spans="1:26">
      <c r="A50" s="2897" t="s">
        <v>2576</v>
      </c>
      <c r="B50" s="2898">
        <f t="shared" si="189"/>
        <v>242.95398227588385</v>
      </c>
      <c r="C50" s="2898">
        <f t="shared" si="189"/>
        <v>199.59137053614126</v>
      </c>
      <c r="D50" s="2898">
        <f t="shared" si="175"/>
        <v>199.59137053614126</v>
      </c>
      <c r="E50" s="2898">
        <f t="shared" si="190"/>
        <v>335.92189522342125</v>
      </c>
      <c r="F50" s="2898">
        <f t="shared" si="190"/>
        <v>183.10139991109489</v>
      </c>
      <c r="G50" s="3550">
        <v>2010</v>
      </c>
      <c r="H50" s="2912">
        <v>2</v>
      </c>
      <c r="I50" s="2912">
        <v>4.6900000000000004</v>
      </c>
      <c r="J50" s="2912">
        <v>3.55</v>
      </c>
      <c r="K50" s="2912">
        <v>5.07</v>
      </c>
      <c r="L50" s="2913">
        <v>4.2300000000000004</v>
      </c>
      <c r="N50" s="2900">
        <f t="shared" si="177"/>
        <v>4.6900000000000004E-2</v>
      </c>
      <c r="O50" s="2886">
        <f t="shared" si="177"/>
        <v>3.5499999999999997E-2</v>
      </c>
      <c r="P50" s="2886">
        <f t="shared" si="177"/>
        <v>5.0700000000000002E-2</v>
      </c>
      <c r="Q50" s="2886">
        <f t="shared" si="177"/>
        <v>4.2300000000000004E-2</v>
      </c>
      <c r="R50" s="2901"/>
      <c r="S50" s="2900"/>
      <c r="T50" s="2886"/>
      <c r="U50" s="2886"/>
      <c r="V50" s="2886"/>
    </row>
    <row r="51" spans="1:26" ht="13.5" thickBot="1">
      <c r="A51" s="2897" t="s">
        <v>2577</v>
      </c>
      <c r="B51" s="2898">
        <f t="shared" si="189"/>
        <v>232.06990378821649</v>
      </c>
      <c r="C51" s="2898">
        <f t="shared" si="189"/>
        <v>192.74878854286936</v>
      </c>
      <c r="D51" s="2898">
        <f t="shared" si="175"/>
        <v>192.74878854286936</v>
      </c>
      <c r="E51" s="2898">
        <f t="shared" si="190"/>
        <v>319.71247284992984</v>
      </c>
      <c r="F51" s="2898">
        <f t="shared" si="190"/>
        <v>175.67053622862409</v>
      </c>
      <c r="G51" s="3551">
        <v>2010</v>
      </c>
      <c r="H51" s="2899">
        <v>1</v>
      </c>
      <c r="I51" s="2899">
        <v>5.4</v>
      </c>
      <c r="J51" s="2899">
        <v>3.2</v>
      </c>
      <c r="K51" s="2899">
        <v>6.16</v>
      </c>
      <c r="L51" s="2905">
        <v>4.51</v>
      </c>
      <c r="N51" s="2900">
        <f t="shared" si="177"/>
        <v>5.4000000000000006E-2</v>
      </c>
      <c r="O51" s="2886">
        <f t="shared" si="177"/>
        <v>3.2000000000000001E-2</v>
      </c>
      <c r="P51" s="2886">
        <f t="shared" si="177"/>
        <v>6.1600000000000002E-2</v>
      </c>
      <c r="Q51" s="2886">
        <f t="shared" si="177"/>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2578</v>
      </c>
      <c r="B52" s="2919">
        <v>220</v>
      </c>
      <c r="C52" s="2919">
        <v>187</v>
      </c>
      <c r="D52" s="2919">
        <f t="shared" si="175"/>
        <v>187</v>
      </c>
      <c r="E52" s="2919">
        <v>301</v>
      </c>
      <c r="F52" s="2920">
        <v>168</v>
      </c>
      <c r="G52" s="3549">
        <v>2009</v>
      </c>
      <c r="H52" s="2921">
        <v>4</v>
      </c>
      <c r="I52" s="2921">
        <v>2.2999999999999998</v>
      </c>
      <c r="J52" s="2921">
        <v>1.04</v>
      </c>
      <c r="K52" s="2921">
        <v>2.84</v>
      </c>
      <c r="L52" s="2922">
        <v>0.67</v>
      </c>
      <c r="N52" s="2916">
        <f t="shared" si="177"/>
        <v>2.3E-2</v>
      </c>
      <c r="O52" s="2917">
        <f t="shared" si="177"/>
        <v>1.04E-2</v>
      </c>
      <c r="P52" s="2917">
        <f t="shared" si="177"/>
        <v>2.8399999999999998E-2</v>
      </c>
      <c r="Q52" s="2917">
        <f t="shared" si="177"/>
        <v>6.7000000000000002E-3</v>
      </c>
      <c r="R52" s="2901"/>
      <c r="S52" s="2910"/>
      <c r="T52" s="2911"/>
      <c r="U52" s="2911"/>
      <c r="V52" s="2911"/>
      <c r="X52" s="2911"/>
      <c r="Y52" s="2911"/>
      <c r="Z52" s="2911"/>
    </row>
    <row r="53" spans="1:26">
      <c r="A53" s="2897" t="s">
        <v>2579</v>
      </c>
      <c r="B53" s="2898">
        <f t="shared" ref="B53:C55" si="191">B52/(1+N52)</f>
        <v>215.05376344086022</v>
      </c>
      <c r="C53" s="2898">
        <f t="shared" si="191"/>
        <v>185.0752177355503</v>
      </c>
      <c r="D53" s="2898">
        <f t="shared" si="175"/>
        <v>185.0752177355503</v>
      </c>
      <c r="E53" s="2898">
        <f t="shared" ref="E53:F55" si="192">E52/(1+P52)</f>
        <v>292.68767016725008</v>
      </c>
      <c r="F53" s="2898">
        <f t="shared" si="192"/>
        <v>166.88189132810174</v>
      </c>
      <c r="G53" s="3550">
        <v>2009</v>
      </c>
      <c r="H53" s="2924">
        <v>3</v>
      </c>
      <c r="I53" s="2924">
        <v>2.1</v>
      </c>
      <c r="J53" s="2924">
        <v>1.86</v>
      </c>
      <c r="K53" s="2924">
        <v>2.29</v>
      </c>
      <c r="L53" s="2925">
        <v>0.85</v>
      </c>
      <c r="N53" s="2900">
        <f t="shared" si="177"/>
        <v>2.1000000000000001E-2</v>
      </c>
      <c r="O53" s="2918">
        <f t="shared" si="177"/>
        <v>1.8600000000000002E-2</v>
      </c>
      <c r="P53" s="2918">
        <f t="shared" si="177"/>
        <v>2.29E-2</v>
      </c>
      <c r="Q53" s="2918">
        <f t="shared" si="177"/>
        <v>8.5000000000000006E-3</v>
      </c>
      <c r="R53" s="2901"/>
      <c r="S53" s="2900"/>
      <c r="T53" s="2886"/>
      <c r="U53" s="2886"/>
      <c r="V53" s="2886"/>
    </row>
    <row r="54" spans="1:26">
      <c r="A54" s="2897" t="s">
        <v>2580</v>
      </c>
      <c r="B54" s="2898">
        <f t="shared" si="191"/>
        <v>210.630522469011</v>
      </c>
      <c r="C54" s="2898">
        <f t="shared" si="191"/>
        <v>181.69567812247232</v>
      </c>
      <c r="D54" s="2898">
        <f t="shared" si="175"/>
        <v>181.69567812247232</v>
      </c>
      <c r="E54" s="2898">
        <f t="shared" si="192"/>
        <v>286.13517466736738</v>
      </c>
      <c r="F54" s="2898">
        <f t="shared" si="192"/>
        <v>165.47535084591149</v>
      </c>
      <c r="G54" s="3550">
        <v>2009</v>
      </c>
      <c r="H54" s="2912">
        <v>2</v>
      </c>
      <c r="I54" s="2912">
        <v>0.86</v>
      </c>
      <c r="J54" s="2912">
        <v>-1.1299999999999999</v>
      </c>
      <c r="K54" s="2912">
        <v>1.79</v>
      </c>
      <c r="L54" s="2913">
        <v>-2.0699999999999998</v>
      </c>
      <c r="N54" s="2900">
        <f t="shared" si="177"/>
        <v>8.6E-3</v>
      </c>
      <c r="O54" s="2918">
        <f t="shared" si="177"/>
        <v>-1.1299999999999999E-2</v>
      </c>
      <c r="P54" s="2918">
        <f t="shared" si="177"/>
        <v>1.7899999999999999E-2</v>
      </c>
      <c r="Q54" s="2918">
        <f t="shared" si="177"/>
        <v>-2.07E-2</v>
      </c>
      <c r="R54" s="2901"/>
      <c r="S54" s="2900"/>
      <c r="T54" s="2886"/>
      <c r="U54" s="2886"/>
      <c r="V54" s="2886"/>
    </row>
    <row r="55" spans="1:26">
      <c r="A55" s="2897" t="s">
        <v>2581</v>
      </c>
      <c r="B55" s="2898">
        <f t="shared" si="191"/>
        <v>208.83454537875372</v>
      </c>
      <c r="C55" s="2898">
        <f t="shared" si="191"/>
        <v>183.77230517090351</v>
      </c>
      <c r="D55" s="2898">
        <f t="shared" si="175"/>
        <v>183.77230517090351</v>
      </c>
      <c r="E55" s="2898">
        <f t="shared" si="192"/>
        <v>281.10342338870947</v>
      </c>
      <c r="F55" s="2898">
        <f t="shared" si="192"/>
        <v>168.97309388942256</v>
      </c>
      <c r="G55" s="3551">
        <v>2009</v>
      </c>
      <c r="H55" s="2899">
        <v>1</v>
      </c>
      <c r="I55" s="2899">
        <v>-2.64</v>
      </c>
      <c r="J55" s="2899">
        <v>-2.5299999999999998</v>
      </c>
      <c r="K55" s="2899">
        <v>-3.02</v>
      </c>
      <c r="L55" s="2905">
        <v>1.52</v>
      </c>
      <c r="N55" s="2902">
        <f t="shared" si="177"/>
        <v>-2.64E-2</v>
      </c>
      <c r="O55" s="2903">
        <f t="shared" si="177"/>
        <v>-2.53E-2</v>
      </c>
      <c r="P55" s="2903">
        <f t="shared" si="177"/>
        <v>-3.0200000000000001E-2</v>
      </c>
      <c r="Q55" s="2903">
        <f t="shared" si="177"/>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2582</v>
      </c>
      <c r="B56" s="2947">
        <v>214</v>
      </c>
      <c r="C56" s="2947">
        <v>188</v>
      </c>
      <c r="D56" s="2947">
        <f t="shared" si="175"/>
        <v>188</v>
      </c>
      <c r="E56" s="2947">
        <v>289</v>
      </c>
      <c r="F56" s="2948">
        <v>166</v>
      </c>
      <c r="G56" s="3549">
        <v>2008</v>
      </c>
      <c r="H56" s="2921">
        <v>4</v>
      </c>
      <c r="I56" s="2921">
        <v>1.73</v>
      </c>
      <c r="J56" s="2921">
        <v>0.03</v>
      </c>
      <c r="K56" s="2921">
        <v>2.59</v>
      </c>
      <c r="L56" s="2922">
        <v>-1.66</v>
      </c>
      <c r="N56" s="2900">
        <f t="shared" si="177"/>
        <v>1.7299999999999999E-2</v>
      </c>
      <c r="O56" s="2886">
        <f t="shared" si="177"/>
        <v>2.9999999999999997E-4</v>
      </c>
      <c r="P56" s="2886">
        <f t="shared" si="177"/>
        <v>2.5899999999999999E-2</v>
      </c>
      <c r="Q56" s="2886">
        <f t="shared" si="177"/>
        <v>-1.66E-2</v>
      </c>
      <c r="R56" s="2901"/>
      <c r="S56" s="2910"/>
      <c r="T56" s="2911"/>
      <c r="U56" s="2911"/>
      <c r="V56" s="2911"/>
      <c r="X56" s="2911"/>
      <c r="Y56" s="2911"/>
      <c r="Z56" s="2911"/>
    </row>
    <row r="57" spans="1:26">
      <c r="A57" s="2897" t="s">
        <v>2583</v>
      </c>
      <c r="B57" s="2898">
        <f t="shared" ref="B57:C59" si="193">B56/(1+N56)</f>
        <v>210.36075887152265</v>
      </c>
      <c r="C57" s="2898">
        <f t="shared" si="193"/>
        <v>187.94361691492554</v>
      </c>
      <c r="D57" s="2898">
        <f t="shared" si="175"/>
        <v>187.94361691492554</v>
      </c>
      <c r="E57" s="2898">
        <f t="shared" ref="E57:F59" si="194">E56/(1+P56)</f>
        <v>281.70386977288234</v>
      </c>
      <c r="F57" s="2898">
        <f t="shared" si="194"/>
        <v>168.80211511083994</v>
      </c>
      <c r="G57" s="3550">
        <v>2008</v>
      </c>
      <c r="H57" s="2924">
        <v>3</v>
      </c>
      <c r="I57" s="2924">
        <v>1.96</v>
      </c>
      <c r="J57" s="2924">
        <v>2.36</v>
      </c>
      <c r="K57" s="2924">
        <v>1.82</v>
      </c>
      <c r="L57" s="2925">
        <v>2.2200000000000002</v>
      </c>
      <c r="N57" s="2900">
        <f t="shared" si="177"/>
        <v>1.9599999999999999E-2</v>
      </c>
      <c r="O57" s="2886">
        <f t="shared" si="177"/>
        <v>2.3599999999999999E-2</v>
      </c>
      <c r="P57" s="2886">
        <f t="shared" si="177"/>
        <v>1.8200000000000001E-2</v>
      </c>
      <c r="Q57" s="2886">
        <f t="shared" si="177"/>
        <v>2.2200000000000001E-2</v>
      </c>
      <c r="R57" s="2901"/>
      <c r="S57" s="2900"/>
      <c r="T57" s="2886"/>
      <c r="U57" s="2886"/>
      <c r="V57" s="2886"/>
    </row>
    <row r="58" spans="1:26">
      <c r="A58" s="2897" t="s">
        <v>2584</v>
      </c>
      <c r="B58" s="2898">
        <f t="shared" si="193"/>
        <v>206.31694671589116</v>
      </c>
      <c r="C58" s="2898">
        <f t="shared" si="193"/>
        <v>183.61041121036101</v>
      </c>
      <c r="D58" s="2898">
        <f t="shared" si="175"/>
        <v>183.61041121036101</v>
      </c>
      <c r="E58" s="2898">
        <f t="shared" si="194"/>
        <v>276.66850301795557</v>
      </c>
      <c r="F58" s="2898">
        <f t="shared" si="194"/>
        <v>165.1360938278614</v>
      </c>
      <c r="G58" s="3550">
        <v>2008</v>
      </c>
      <c r="H58" s="2912">
        <v>2</v>
      </c>
      <c r="I58" s="2912">
        <v>4.93</v>
      </c>
      <c r="J58" s="2912">
        <v>7.38</v>
      </c>
      <c r="K58" s="2912">
        <v>3.98</v>
      </c>
      <c r="L58" s="2913">
        <v>6.86</v>
      </c>
      <c r="N58" s="2900">
        <f t="shared" si="177"/>
        <v>4.9299999999999997E-2</v>
      </c>
      <c r="O58" s="2886">
        <f t="shared" si="177"/>
        <v>7.3800000000000004E-2</v>
      </c>
      <c r="P58" s="2886">
        <f t="shared" si="177"/>
        <v>3.9800000000000002E-2</v>
      </c>
      <c r="Q58" s="2886">
        <f t="shared" si="177"/>
        <v>6.8600000000000008E-2</v>
      </c>
      <c r="R58" s="2901"/>
      <c r="S58" s="2900"/>
      <c r="T58" s="2886"/>
      <c r="U58" s="2886"/>
      <c r="V58" s="2886"/>
    </row>
    <row r="59" spans="1:26" s="2953" customFormat="1" ht="13.5" thickBot="1">
      <c r="A59" s="2897" t="s">
        <v>2585</v>
      </c>
      <c r="B59" s="2950">
        <f t="shared" si="193"/>
        <v>196.62341248059772</v>
      </c>
      <c r="C59" s="2950">
        <f t="shared" si="193"/>
        <v>170.99125648199012</v>
      </c>
      <c r="D59" s="2950">
        <f t="shared" si="175"/>
        <v>170.99125648199012</v>
      </c>
      <c r="E59" s="2950">
        <f t="shared" si="194"/>
        <v>266.07857570490052</v>
      </c>
      <c r="F59" s="2950">
        <f t="shared" si="194"/>
        <v>154.53499328828505</v>
      </c>
      <c r="G59" s="3551">
        <v>2008</v>
      </c>
      <c r="H59" s="2951">
        <v>1</v>
      </c>
      <c r="I59" s="2951">
        <v>4.1399999999999997</v>
      </c>
      <c r="J59" s="2951">
        <v>3.45</v>
      </c>
      <c r="K59" s="2951">
        <v>4.95</v>
      </c>
      <c r="L59" s="2952">
        <v>4.82</v>
      </c>
      <c r="N59" s="2954">
        <f t="shared" si="177"/>
        <v>4.1399999999999999E-2</v>
      </c>
      <c r="O59" s="2955">
        <f t="shared" si="177"/>
        <v>3.4500000000000003E-2</v>
      </c>
      <c r="P59" s="2955">
        <f t="shared" si="177"/>
        <v>4.9500000000000002E-2</v>
      </c>
      <c r="Q59" s="2955">
        <f t="shared" si="177"/>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2586</v>
      </c>
      <c r="B60" s="2919">
        <v>188</v>
      </c>
      <c r="C60" s="2919">
        <v>165</v>
      </c>
      <c r="D60" s="2919">
        <f t="shared" si="175"/>
        <v>165</v>
      </c>
      <c r="E60" s="2919">
        <v>254</v>
      </c>
      <c r="F60" s="2920">
        <v>148</v>
      </c>
      <c r="G60" s="3549">
        <v>2007</v>
      </c>
      <c r="H60" s="2957">
        <v>4</v>
      </c>
      <c r="I60" s="2957">
        <v>5.51</v>
      </c>
      <c r="J60" s="2957">
        <v>4.8899999999999997</v>
      </c>
      <c r="K60" s="2957">
        <v>6.43</v>
      </c>
      <c r="L60" s="2958">
        <v>5.36</v>
      </c>
      <c r="N60" s="2959">
        <f t="shared" ref="N60:O63" si="195">B60/B61-1</f>
        <v>4.1339718365245526E-2</v>
      </c>
      <c r="O60" s="2960">
        <f t="shared" si="195"/>
        <v>4.0324492593776018E-2</v>
      </c>
      <c r="P60" s="2960">
        <f t="shared" ref="P60:Q63" si="196">E60/E61-1</f>
        <v>6.1625555347990968E-2</v>
      </c>
      <c r="Q60" s="2960">
        <f t="shared" si="196"/>
        <v>4.6757569250590603E-2</v>
      </c>
      <c r="R60" s="2901"/>
      <c r="S60" s="2910"/>
      <c r="T60" s="2911"/>
      <c r="U60" s="2911"/>
      <c r="V60" s="2911"/>
      <c r="X60" s="2911"/>
      <c r="Y60" s="2911"/>
      <c r="Z60" s="2911"/>
    </row>
    <row r="61" spans="1:26">
      <c r="A61" s="2897" t="s">
        <v>2587</v>
      </c>
      <c r="B61" s="2898">
        <f t="shared" ref="B61:C63" si="197">B62+(B$60-B$64)*I61/SUM(I$60:I$63)</f>
        <v>180.5366651097618</v>
      </c>
      <c r="C61" s="2898">
        <f t="shared" si="197"/>
        <v>158.60435967302453</v>
      </c>
      <c r="D61" s="2898">
        <f t="shared" si="175"/>
        <v>158.60435967302453</v>
      </c>
      <c r="E61" s="2898">
        <f t="shared" ref="E61:F63" si="198">E62+(E$60-E$64)*K61/SUM(K$60:K$63)</f>
        <v>239.25573260785075</v>
      </c>
      <c r="F61" s="2898">
        <f t="shared" si="198"/>
        <v>141.38899430740037</v>
      </c>
      <c r="G61" s="3550">
        <v>2007</v>
      </c>
      <c r="H61" s="2924">
        <v>3</v>
      </c>
      <c r="I61" s="2924">
        <v>8.65</v>
      </c>
      <c r="J61" s="2924">
        <v>8.06</v>
      </c>
      <c r="K61" s="2924">
        <v>9.94</v>
      </c>
      <c r="L61" s="2925">
        <v>5.8</v>
      </c>
      <c r="N61" s="2959">
        <f t="shared" si="195"/>
        <v>6.940217571740015E-2</v>
      </c>
      <c r="O61" s="2960">
        <f t="shared" si="195"/>
        <v>7.1197482471153428E-2</v>
      </c>
      <c r="P61" s="2960">
        <f t="shared" si="196"/>
        <v>0.10529679922579582</v>
      </c>
      <c r="Q61" s="2960">
        <f t="shared" si="196"/>
        <v>5.3292245059512133E-2</v>
      </c>
      <c r="R61" s="2901"/>
      <c r="S61" s="2900"/>
      <c r="T61" s="2886"/>
      <c r="U61" s="2886"/>
      <c r="V61" s="2886"/>
      <c r="X61" s="2961"/>
      <c r="Y61" s="2961"/>
      <c r="Z61" s="2961"/>
    </row>
    <row r="62" spans="1:26">
      <c r="A62" s="2897" t="s">
        <v>2588</v>
      </c>
      <c r="B62" s="2898">
        <f t="shared" si="197"/>
        <v>168.82017748715555</v>
      </c>
      <c r="C62" s="2898">
        <f t="shared" si="197"/>
        <v>148.06267029972753</v>
      </c>
      <c r="D62" s="2898">
        <f t="shared" si="175"/>
        <v>148.06267029972753</v>
      </c>
      <c r="E62" s="2898">
        <f t="shared" si="198"/>
        <v>216.46288379323747</v>
      </c>
      <c r="F62" s="2898">
        <f t="shared" si="198"/>
        <v>134.23529411764704</v>
      </c>
      <c r="G62" s="3550">
        <v>2007</v>
      </c>
      <c r="H62" s="2912">
        <v>2</v>
      </c>
      <c r="I62" s="2912">
        <v>3.67</v>
      </c>
      <c r="J62" s="2912">
        <v>2.3199999999999998</v>
      </c>
      <c r="K62" s="2912">
        <v>5.0199999999999996</v>
      </c>
      <c r="L62" s="2913">
        <v>6.71</v>
      </c>
      <c r="N62" s="2959">
        <f t="shared" si="195"/>
        <v>3.0339138143848032E-2</v>
      </c>
      <c r="O62" s="2960">
        <f t="shared" si="195"/>
        <v>2.0922341588790472E-2</v>
      </c>
      <c r="P62" s="2960">
        <f t="shared" si="196"/>
        <v>5.6164796592717003E-2</v>
      </c>
      <c r="Q62" s="2960">
        <f t="shared" si="196"/>
        <v>6.5704536723887319E-2</v>
      </c>
      <c r="R62" s="2901"/>
      <c r="S62" s="2900"/>
      <c r="T62" s="2886"/>
      <c r="U62" s="2886"/>
      <c r="V62" s="2886"/>
      <c r="X62" s="2961"/>
      <c r="Y62" s="2961"/>
      <c r="Z62" s="2961"/>
    </row>
    <row r="63" spans="1:26">
      <c r="A63" s="2897" t="s">
        <v>2589</v>
      </c>
      <c r="B63" s="2898">
        <f t="shared" si="197"/>
        <v>163.84913591779542</v>
      </c>
      <c r="C63" s="2898">
        <f t="shared" si="197"/>
        <v>145.0283378746594</v>
      </c>
      <c r="D63" s="2898">
        <f t="shared" si="175"/>
        <v>145.0283378746594</v>
      </c>
      <c r="E63" s="2898">
        <f t="shared" si="198"/>
        <v>204.95180722891567</v>
      </c>
      <c r="F63" s="2898">
        <f t="shared" si="198"/>
        <v>125.95920303605313</v>
      </c>
      <c r="G63" s="3551">
        <v>2007</v>
      </c>
      <c r="H63" s="2899">
        <v>1</v>
      </c>
      <c r="I63" s="2899">
        <v>3.58</v>
      </c>
      <c r="J63" s="2899">
        <v>3.08</v>
      </c>
      <c r="K63" s="2899">
        <v>4.34</v>
      </c>
      <c r="L63" s="2905">
        <v>3.21</v>
      </c>
      <c r="N63" s="2962">
        <f t="shared" si="195"/>
        <v>3.0497710174814063E-2</v>
      </c>
      <c r="O63" s="2963">
        <f t="shared" si="195"/>
        <v>2.8569772160704998E-2</v>
      </c>
      <c r="P63" s="2963">
        <f t="shared" si="196"/>
        <v>5.1034908866234296E-2</v>
      </c>
      <c r="Q63" s="2963">
        <f t="shared" si="196"/>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2590</v>
      </c>
      <c r="B64" s="2926">
        <v>159</v>
      </c>
      <c r="C64" s="2926">
        <v>141</v>
      </c>
      <c r="D64" s="2926">
        <f t="shared" si="175"/>
        <v>141</v>
      </c>
      <c r="E64" s="2926">
        <v>195</v>
      </c>
      <c r="F64" s="2927">
        <v>122</v>
      </c>
      <c r="G64" s="3549">
        <v>2006</v>
      </c>
      <c r="H64" s="2921">
        <v>4</v>
      </c>
      <c r="I64" s="2921">
        <v>3.79</v>
      </c>
      <c r="J64" s="2921">
        <v>2.21</v>
      </c>
      <c r="K64" s="2921">
        <v>5.65</v>
      </c>
      <c r="L64" s="2922">
        <v>5.41</v>
      </c>
      <c r="N64" s="2959">
        <f t="shared" ref="N64:O67" si="199">I64/SUM(I$64:I$67)*(B$64/B$68-1)</f>
        <v>7.245466462748526E-2</v>
      </c>
      <c r="O64" s="2960">
        <f t="shared" si="199"/>
        <v>2.3237230038062766E-2</v>
      </c>
      <c r="P64" s="2960">
        <f t="shared" ref="P64:Q67" si="200">K64/SUM(K$64:K$67)*(E$64/E$68-1)</f>
        <v>0.16146893866323722</v>
      </c>
      <c r="Q64" s="2960">
        <f t="shared" si="200"/>
        <v>5.0755230321793784E-2</v>
      </c>
      <c r="R64" s="2901"/>
      <c r="S64" s="2910"/>
      <c r="T64" s="2911"/>
      <c r="U64" s="2911"/>
      <c r="V64" s="2911"/>
      <c r="X64" s="2961"/>
      <c r="Y64" s="2961"/>
      <c r="Z64" s="2961"/>
    </row>
    <row r="65" spans="1:26">
      <c r="A65" s="2897" t="s">
        <v>2591</v>
      </c>
      <c r="B65" s="2898">
        <f t="shared" ref="B65:C67" si="201">B66+(B$64-B$68)*I65/SUM(I$64:I$67)</f>
        <v>149.00125628140702</v>
      </c>
      <c r="C65" s="2898">
        <f t="shared" si="201"/>
        <v>137.95592286501378</v>
      </c>
      <c r="D65" s="2898">
        <f t="shared" si="175"/>
        <v>137.95592286501378</v>
      </c>
      <c r="E65" s="2898">
        <f t="shared" ref="E65:F67" si="202">E66+(E$64-E$68)*K65/SUM(K$64:K$67)</f>
        <v>169.97231450719823</v>
      </c>
      <c r="F65" s="2898">
        <f t="shared" si="202"/>
        <v>116.21390374331551</v>
      </c>
      <c r="G65" s="3550">
        <v>2006</v>
      </c>
      <c r="H65" s="2924">
        <v>3</v>
      </c>
      <c r="I65" s="2924">
        <v>0.92</v>
      </c>
      <c r="J65" s="2924">
        <v>1.08</v>
      </c>
      <c r="K65" s="2924">
        <v>0.73</v>
      </c>
      <c r="L65" s="2925">
        <v>1.08</v>
      </c>
      <c r="N65" s="2959">
        <f t="shared" si="199"/>
        <v>1.7587939698492462E-2</v>
      </c>
      <c r="O65" s="2960">
        <f t="shared" si="199"/>
        <v>1.1355750425840628E-2</v>
      </c>
      <c r="P65" s="2960">
        <f t="shared" si="200"/>
        <v>2.0862358446754544E-2</v>
      </c>
      <c r="Q65" s="2960">
        <f t="shared" si="200"/>
        <v>1.0132282578103011E-2</v>
      </c>
      <c r="R65" s="2901"/>
      <c r="S65" s="2900"/>
      <c r="T65" s="2886"/>
      <c r="U65" s="2886"/>
      <c r="V65" s="2886"/>
      <c r="X65" s="2961"/>
      <c r="Y65" s="2961"/>
      <c r="Z65" s="2961"/>
    </row>
    <row r="66" spans="1:26">
      <c r="A66" s="2897" t="s">
        <v>2592</v>
      </c>
      <c r="B66" s="2898">
        <f t="shared" si="201"/>
        <v>146.57412060301507</v>
      </c>
      <c r="C66" s="2898">
        <f t="shared" si="201"/>
        <v>136.46831955922866</v>
      </c>
      <c r="D66" s="2898">
        <f t="shared" si="175"/>
        <v>136.46831955922866</v>
      </c>
      <c r="E66" s="2898">
        <f t="shared" si="202"/>
        <v>166.73864894795128</v>
      </c>
      <c r="F66" s="2898">
        <f t="shared" si="202"/>
        <v>115.05882352941177</v>
      </c>
      <c r="G66" s="3550">
        <v>2006</v>
      </c>
      <c r="H66" s="2912">
        <v>2</v>
      </c>
      <c r="I66" s="2912">
        <v>0.96</v>
      </c>
      <c r="J66" s="2912">
        <v>0.25</v>
      </c>
      <c r="K66" s="2912">
        <v>1.9</v>
      </c>
      <c r="L66" s="2913">
        <v>0.95</v>
      </c>
      <c r="N66" s="2959">
        <f t="shared" si="199"/>
        <v>1.8352632728861701E-2</v>
      </c>
      <c r="O66" s="2960">
        <f t="shared" si="199"/>
        <v>2.6286459319075526E-3</v>
      </c>
      <c r="P66" s="2960">
        <f t="shared" si="200"/>
        <v>5.4299289107991269E-2</v>
      </c>
      <c r="Q66" s="2960">
        <f t="shared" si="200"/>
        <v>8.9126559714794995E-3</v>
      </c>
      <c r="R66" s="2901"/>
      <c r="S66" s="2900"/>
      <c r="T66" s="2886"/>
      <c r="U66" s="2886"/>
      <c r="V66" s="2886"/>
      <c r="X66" s="2961"/>
      <c r="Y66" s="2961"/>
      <c r="Z66" s="2961"/>
    </row>
    <row r="67" spans="1:26">
      <c r="A67" s="2897" t="s">
        <v>2593</v>
      </c>
      <c r="B67" s="2898">
        <f t="shared" si="201"/>
        <v>144.04145728643215</v>
      </c>
      <c r="C67" s="2898">
        <f t="shared" si="201"/>
        <v>136.12396694214877</v>
      </c>
      <c r="D67" s="2898">
        <f t="shared" si="175"/>
        <v>136.12396694214877</v>
      </c>
      <c r="E67" s="2898">
        <f t="shared" si="202"/>
        <v>158.32225913621264</v>
      </c>
      <c r="F67" s="2898">
        <f t="shared" si="202"/>
        <v>114.04278074866311</v>
      </c>
      <c r="G67" s="3551">
        <v>2006</v>
      </c>
      <c r="H67" s="2899">
        <v>1</v>
      </c>
      <c r="I67" s="2899">
        <v>2.29</v>
      </c>
      <c r="J67" s="2899">
        <v>3.72</v>
      </c>
      <c r="K67" s="2899">
        <v>0.75</v>
      </c>
      <c r="L67" s="2905">
        <v>0.04</v>
      </c>
      <c r="N67" s="2962">
        <f t="shared" si="199"/>
        <v>4.3778675988638847E-2</v>
      </c>
      <c r="O67" s="2963">
        <f t="shared" si="199"/>
        <v>3.9114251466784385E-2</v>
      </c>
      <c r="P67" s="2963">
        <f t="shared" si="200"/>
        <v>2.1433929911049188E-2</v>
      </c>
      <c r="Q67" s="2963">
        <f t="shared" si="200"/>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2594</v>
      </c>
      <c r="B68" s="2926">
        <v>138</v>
      </c>
      <c r="C68" s="2926">
        <v>131</v>
      </c>
      <c r="D68" s="2926">
        <f t="shared" si="175"/>
        <v>131</v>
      </c>
      <c r="E68" s="2926">
        <v>155</v>
      </c>
      <c r="F68" s="2927">
        <v>114</v>
      </c>
      <c r="G68" s="3549">
        <v>2005</v>
      </c>
      <c r="H68" s="2921">
        <v>4</v>
      </c>
      <c r="I68" s="2921">
        <v>3.29</v>
      </c>
      <c r="J68" s="2921">
        <v>1.44</v>
      </c>
      <c r="K68" s="2921">
        <v>0.66</v>
      </c>
      <c r="L68" s="2922">
        <v>7.78</v>
      </c>
      <c r="N68" s="2959">
        <f t="shared" ref="N68:O71" si="203">I68/SUM(I$68:I$71)*(B$68/B$72-1)</f>
        <v>9.9404603216919935E-2</v>
      </c>
      <c r="O68" s="2960">
        <f t="shared" si="203"/>
        <v>4.7636550760861554E-2</v>
      </c>
      <c r="P68" s="2960">
        <f t="shared" ref="P68:Q71" si="204">K68/SUM(K$68:K$71)*(E$68/E$72-1)</f>
        <v>8.3756345177664976E-2</v>
      </c>
      <c r="Q68" s="2960">
        <f t="shared" si="204"/>
        <v>5.2148766661559584E-2</v>
      </c>
      <c r="R68" s="2901"/>
      <c r="S68" s="2910"/>
      <c r="T68" s="2911"/>
      <c r="U68" s="2911"/>
      <c r="V68" s="2911"/>
      <c r="X68" s="2961"/>
      <c r="Y68" s="2961"/>
      <c r="Z68" s="2961"/>
    </row>
    <row r="69" spans="1:26">
      <c r="A69" s="2897" t="s">
        <v>2595</v>
      </c>
      <c r="B69" s="2898">
        <f t="shared" ref="B69:C71" si="205">B70+(B$68-B$72)*I69/SUM(I$68:I$71)</f>
        <v>125.9720430107527</v>
      </c>
      <c r="C69" s="2898">
        <f t="shared" si="205"/>
        <v>125.1883408071749</v>
      </c>
      <c r="D69" s="2898">
        <f t="shared" si="175"/>
        <v>125.1883408071749</v>
      </c>
      <c r="E69" s="2898">
        <f t="shared" ref="E69:F71" si="206">E70+(E$68-E$72)*K69/SUM(K$68:K$71)</f>
        <v>144.61421319796952</v>
      </c>
      <c r="F69" s="2898">
        <f t="shared" si="206"/>
        <v>108.42008196721311</v>
      </c>
      <c r="G69" s="3550">
        <v>2005</v>
      </c>
      <c r="H69" s="2924">
        <v>3</v>
      </c>
      <c r="I69" s="2924">
        <v>0.46</v>
      </c>
      <c r="J69" s="2924">
        <v>0.32</v>
      </c>
      <c r="K69" s="2924">
        <v>0.42</v>
      </c>
      <c r="L69" s="2925">
        <v>0.64</v>
      </c>
      <c r="N69" s="2959">
        <f t="shared" si="203"/>
        <v>1.3898515951301874E-2</v>
      </c>
      <c r="O69" s="2960">
        <f t="shared" si="203"/>
        <v>1.0585900169080346E-2</v>
      </c>
      <c r="P69" s="2960">
        <f t="shared" si="204"/>
        <v>5.3299492385786795E-2</v>
      </c>
      <c r="Q69" s="2960">
        <f t="shared" si="204"/>
        <v>4.2898728359123568E-3</v>
      </c>
      <c r="R69" s="2901"/>
      <c r="S69" s="2900"/>
      <c r="T69" s="2886"/>
      <c r="U69" s="2886"/>
      <c r="V69" s="2886"/>
      <c r="X69" s="2961"/>
      <c r="Y69" s="2961"/>
      <c r="Z69" s="2961"/>
    </row>
    <row r="70" spans="1:26">
      <c r="A70" s="2897" t="s">
        <v>2596</v>
      </c>
      <c r="B70" s="2898">
        <f t="shared" si="205"/>
        <v>124.29032258064517</v>
      </c>
      <c r="C70" s="2898">
        <f t="shared" si="205"/>
        <v>123.8968609865471</v>
      </c>
      <c r="D70" s="2898">
        <f t="shared" si="175"/>
        <v>123.8968609865471</v>
      </c>
      <c r="E70" s="2898">
        <f t="shared" si="206"/>
        <v>138.00507614213197</v>
      </c>
      <c r="F70" s="2898">
        <f t="shared" si="206"/>
        <v>107.96106557377048</v>
      </c>
      <c r="G70" s="3550">
        <v>2005</v>
      </c>
      <c r="H70" s="2912">
        <v>2</v>
      </c>
      <c r="I70" s="2912">
        <v>0.47</v>
      </c>
      <c r="J70" s="2912">
        <v>0.1</v>
      </c>
      <c r="K70" s="2912">
        <v>0.52</v>
      </c>
      <c r="L70" s="2913">
        <v>0.79</v>
      </c>
      <c r="N70" s="2959">
        <f t="shared" si="203"/>
        <v>1.420065760241713E-2</v>
      </c>
      <c r="O70" s="2960">
        <f t="shared" si="203"/>
        <v>3.3080938028376083E-3</v>
      </c>
      <c r="P70" s="2960">
        <f t="shared" si="204"/>
        <v>6.598984771573603E-2</v>
      </c>
      <c r="Q70" s="2960">
        <f t="shared" si="204"/>
        <v>5.2953117818293153E-3</v>
      </c>
      <c r="R70" s="2901"/>
      <c r="S70" s="2900"/>
      <c r="T70" s="2886"/>
      <c r="U70" s="2886"/>
      <c r="V70" s="2886"/>
      <c r="X70" s="2961"/>
      <c r="Y70" s="2961"/>
      <c r="Z70" s="2961"/>
    </row>
    <row r="71" spans="1:26">
      <c r="A71" s="2897" t="s">
        <v>2597</v>
      </c>
      <c r="B71" s="2898">
        <f t="shared" si="205"/>
        <v>122.57204301075269</v>
      </c>
      <c r="C71" s="2898">
        <f t="shared" si="205"/>
        <v>123.4932735426009</v>
      </c>
      <c r="D71" s="2898">
        <f t="shared" si="175"/>
        <v>123.4932735426009</v>
      </c>
      <c r="E71" s="2898">
        <f t="shared" si="206"/>
        <v>129.82233502538071</v>
      </c>
      <c r="F71" s="2898">
        <f t="shared" si="206"/>
        <v>107.39446721311475</v>
      </c>
      <c r="G71" s="3551">
        <v>2005</v>
      </c>
      <c r="H71" s="2899">
        <v>1</v>
      </c>
      <c r="I71" s="2899">
        <v>0.43</v>
      </c>
      <c r="J71" s="2899">
        <v>0.37</v>
      </c>
      <c r="K71" s="2899">
        <v>0.37</v>
      </c>
      <c r="L71" s="2905">
        <v>0.55000000000000004</v>
      </c>
      <c r="N71" s="2962">
        <f t="shared" si="203"/>
        <v>1.2992090997956099E-2</v>
      </c>
      <c r="O71" s="2963">
        <f t="shared" si="203"/>
        <v>1.2239947070499151E-2</v>
      </c>
      <c r="P71" s="2963">
        <f t="shared" si="204"/>
        <v>4.6954314720812178E-2</v>
      </c>
      <c r="Q71" s="2963">
        <f t="shared" si="204"/>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2598</v>
      </c>
      <c r="B72" s="2947">
        <v>121</v>
      </c>
      <c r="C72" s="2947">
        <v>122</v>
      </c>
      <c r="D72" s="2947">
        <f t="shared" si="175"/>
        <v>122</v>
      </c>
      <c r="E72" s="2947">
        <v>124</v>
      </c>
      <c r="F72" s="2948">
        <v>107</v>
      </c>
      <c r="G72" s="3549">
        <v>2004</v>
      </c>
      <c r="H72" s="2921">
        <v>4</v>
      </c>
      <c r="I72" s="2921">
        <v>0.33</v>
      </c>
      <c r="J72" s="2921">
        <v>0.5</v>
      </c>
      <c r="K72" s="2921">
        <v>0.5</v>
      </c>
      <c r="L72" s="2922">
        <v>0</v>
      </c>
      <c r="N72" s="2959">
        <f t="shared" ref="N72:O75" si="207">I72/SUM(I$72:I$75)*(B$72/B$76-1)</f>
        <v>1.3391770148526898E-2</v>
      </c>
      <c r="O72" s="2960">
        <f t="shared" si="207"/>
        <v>1.063264221158958E-2</v>
      </c>
      <c r="P72" s="2960">
        <f t="shared" ref="P72:Q75" si="208">K72/SUM(K$72:K$75)*(E$72/E$76-1)</f>
        <v>2.2244466688911134E-2</v>
      </c>
      <c r="Q72" s="2960">
        <f t="shared" si="208"/>
        <v>0</v>
      </c>
      <c r="R72" s="2901"/>
      <c r="S72" s="2910"/>
      <c r="T72" s="2911"/>
      <c r="U72" s="2911"/>
      <c r="V72" s="2911"/>
      <c r="X72" s="2961"/>
      <c r="Y72" s="2961"/>
      <c r="Z72" s="2961"/>
    </row>
    <row r="73" spans="1:26">
      <c r="A73" s="2897" t="s">
        <v>2599</v>
      </c>
      <c r="B73" s="2898">
        <f t="shared" ref="B73:C75" si="209">B74+(B$72-B$76)*I73/SUM(I$72:I$75)</f>
        <v>119.51351351351352</v>
      </c>
      <c r="C73" s="2898">
        <f t="shared" si="209"/>
        <v>120.7878787878788</v>
      </c>
      <c r="D73" s="2898">
        <f t="shared" si="175"/>
        <v>120.7878787878788</v>
      </c>
      <c r="E73" s="2898">
        <f t="shared" ref="E73:F75" si="210">E74+(E$72-E$76)*K73/SUM(K$72:K$75)</f>
        <v>121.5975975975976</v>
      </c>
      <c r="F73" s="2898">
        <f t="shared" si="210"/>
        <v>107</v>
      </c>
      <c r="G73" s="3550">
        <v>2004</v>
      </c>
      <c r="H73" s="2924">
        <v>3</v>
      </c>
      <c r="I73" s="2924">
        <v>0.56000000000000005</v>
      </c>
      <c r="J73" s="2924">
        <v>0.8</v>
      </c>
      <c r="K73" s="2924">
        <v>0.83</v>
      </c>
      <c r="L73" s="2925">
        <v>0.06</v>
      </c>
      <c r="N73" s="2959">
        <f t="shared" si="207"/>
        <v>2.2725428130833527E-2</v>
      </c>
      <c r="O73" s="2960">
        <f t="shared" si="207"/>
        <v>1.7012227538543329E-2</v>
      </c>
      <c r="P73" s="2960">
        <f t="shared" si="208"/>
        <v>3.6925814703592477E-2</v>
      </c>
      <c r="Q73" s="2960">
        <f t="shared" si="208"/>
        <v>2.8846153846153744E-2</v>
      </c>
      <c r="R73" s="2901"/>
      <c r="S73" s="2900"/>
      <c r="T73" s="2886"/>
      <c r="U73" s="2886"/>
      <c r="V73" s="2886"/>
      <c r="X73" s="2961"/>
      <c r="Y73" s="2961"/>
      <c r="Z73" s="2961"/>
    </row>
    <row r="74" spans="1:26">
      <c r="A74" s="2897" t="s">
        <v>2600</v>
      </c>
      <c r="B74" s="2898">
        <f t="shared" si="209"/>
        <v>116.99099099099099</v>
      </c>
      <c r="C74" s="2898">
        <f t="shared" si="209"/>
        <v>118.84848484848486</v>
      </c>
      <c r="D74" s="2898">
        <f t="shared" si="175"/>
        <v>118.84848484848486</v>
      </c>
      <c r="E74" s="2898">
        <f t="shared" si="210"/>
        <v>117.60960960960961</v>
      </c>
      <c r="F74" s="2898">
        <f t="shared" si="210"/>
        <v>104</v>
      </c>
      <c r="G74" s="3550">
        <v>2004</v>
      </c>
      <c r="H74" s="2912">
        <v>2</v>
      </c>
      <c r="I74" s="2912">
        <v>1</v>
      </c>
      <c r="J74" s="2912">
        <v>1.5</v>
      </c>
      <c r="K74" s="2912">
        <v>1.5</v>
      </c>
      <c r="L74" s="2913">
        <v>0</v>
      </c>
      <c r="N74" s="2959">
        <f t="shared" si="207"/>
        <v>4.0581121662202721E-2</v>
      </c>
      <c r="O74" s="2960">
        <f t="shared" si="207"/>
        <v>3.1897926634768738E-2</v>
      </c>
      <c r="P74" s="2960">
        <f t="shared" si="208"/>
        <v>6.6733400066733395E-2</v>
      </c>
      <c r="Q74" s="2960">
        <f t="shared" si="208"/>
        <v>0</v>
      </c>
      <c r="R74" s="2901"/>
      <c r="S74" s="2900"/>
      <c r="T74" s="2886"/>
      <c r="U74" s="2886"/>
      <c r="V74" s="2886"/>
      <c r="X74" s="2961"/>
      <c r="Y74" s="2961"/>
      <c r="Z74" s="2961"/>
    </row>
    <row r="75" spans="1:26" s="2953" customFormat="1" ht="13.5" thickBot="1">
      <c r="A75" s="2897" t="s">
        <v>2601</v>
      </c>
      <c r="B75" s="2950">
        <f t="shared" si="209"/>
        <v>112.48648648648648</v>
      </c>
      <c r="C75" s="2950">
        <f t="shared" si="209"/>
        <v>115.21212121212122</v>
      </c>
      <c r="D75" s="2950">
        <f t="shared" si="175"/>
        <v>115.21212121212122</v>
      </c>
      <c r="E75" s="2950">
        <f t="shared" si="210"/>
        <v>110.4024024024024</v>
      </c>
      <c r="F75" s="2950">
        <f t="shared" si="210"/>
        <v>104</v>
      </c>
      <c r="G75" s="3551">
        <v>2004</v>
      </c>
      <c r="H75" s="2951">
        <v>1</v>
      </c>
      <c r="I75" s="2951">
        <v>0.33</v>
      </c>
      <c r="J75" s="2951">
        <v>0.5</v>
      </c>
      <c r="K75" s="2951">
        <v>0.5</v>
      </c>
      <c r="L75" s="2952">
        <v>0</v>
      </c>
      <c r="N75" s="2964">
        <f t="shared" si="207"/>
        <v>1.3391770148526898E-2</v>
      </c>
      <c r="O75" s="2965">
        <f t="shared" si="207"/>
        <v>1.063264221158958E-2</v>
      </c>
      <c r="P75" s="2965">
        <f t="shared" si="208"/>
        <v>2.2244466688911134E-2</v>
      </c>
      <c r="Q75" s="2965">
        <f t="shared" si="208"/>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2602</v>
      </c>
      <c r="B76" s="2967">
        <v>111</v>
      </c>
      <c r="C76" s="2967">
        <v>114</v>
      </c>
      <c r="D76" s="2967">
        <f t="shared" si="175"/>
        <v>114</v>
      </c>
      <c r="E76" s="2967">
        <v>108</v>
      </c>
      <c r="F76" s="2968">
        <v>104</v>
      </c>
      <c r="G76" s="3549">
        <v>2003</v>
      </c>
      <c r="H76" s="2957">
        <v>4</v>
      </c>
      <c r="I76" s="2969"/>
      <c r="J76" s="2969"/>
      <c r="K76" s="2969"/>
      <c r="L76" s="2969"/>
      <c r="N76" s="2970"/>
      <c r="O76" s="2969"/>
      <c r="P76" s="2969"/>
      <c r="Q76" s="2969"/>
      <c r="S76" s="2970"/>
      <c r="T76" s="2969"/>
      <c r="U76" s="2969"/>
      <c r="V76" s="2969"/>
      <c r="X76" s="2961"/>
      <c r="Y76" s="2961"/>
      <c r="Z76" s="2961"/>
    </row>
    <row r="77" spans="1:26">
      <c r="A77" s="2897" t="s">
        <v>2603</v>
      </c>
      <c r="B77" s="2971">
        <f t="shared" ref="B77:C79" si="211">B78+(B$76-B$80)/4</f>
        <v>109.75</v>
      </c>
      <c r="C77" s="2971">
        <f t="shared" si="211"/>
        <v>112.25</v>
      </c>
      <c r="D77" s="2971">
        <f t="shared" si="175"/>
        <v>112.25</v>
      </c>
      <c r="E77" s="2971">
        <f t="shared" ref="E77:F79" si="212">E78+(E$76-E$80)/4</f>
        <v>107.25</v>
      </c>
      <c r="F77" s="2971">
        <f t="shared" si="212"/>
        <v>103.5</v>
      </c>
      <c r="G77" s="3550">
        <v>2003</v>
      </c>
      <c r="H77" s="2924">
        <v>3</v>
      </c>
      <c r="I77" s="2969"/>
      <c r="J77" s="2969"/>
      <c r="K77" s="2969"/>
      <c r="L77" s="2969"/>
      <c r="X77" s="2961"/>
      <c r="Y77" s="2961"/>
      <c r="Z77" s="2961"/>
    </row>
    <row r="78" spans="1:26">
      <c r="A78" s="2897" t="s">
        <v>2604</v>
      </c>
      <c r="B78" s="2971">
        <f t="shared" si="211"/>
        <v>108.5</v>
      </c>
      <c r="C78" s="2971">
        <f t="shared" si="211"/>
        <v>110.5</v>
      </c>
      <c r="D78" s="2971">
        <f t="shared" si="175"/>
        <v>110.5</v>
      </c>
      <c r="E78" s="2971">
        <f t="shared" si="212"/>
        <v>106.5</v>
      </c>
      <c r="F78" s="2971">
        <f t="shared" si="212"/>
        <v>103</v>
      </c>
      <c r="G78" s="3550">
        <v>2003</v>
      </c>
      <c r="H78" s="2912">
        <v>2</v>
      </c>
      <c r="I78" s="2969"/>
      <c r="J78" s="2969"/>
      <c r="K78" s="2969"/>
      <c r="L78" s="2969"/>
      <c r="X78" s="2961"/>
      <c r="Y78" s="2961"/>
      <c r="Z78" s="2961"/>
    </row>
    <row r="79" spans="1:26" ht="13.5" thickBot="1">
      <c r="A79" s="2897" t="s">
        <v>2605</v>
      </c>
      <c r="B79" s="2971">
        <f t="shared" si="211"/>
        <v>107.25</v>
      </c>
      <c r="C79" s="2971">
        <f t="shared" si="211"/>
        <v>108.75</v>
      </c>
      <c r="D79" s="2971">
        <f t="shared" si="175"/>
        <v>108.75</v>
      </c>
      <c r="E79" s="2971">
        <f t="shared" si="212"/>
        <v>105.75</v>
      </c>
      <c r="F79" s="2971">
        <f t="shared" si="212"/>
        <v>102.5</v>
      </c>
      <c r="G79" s="3551">
        <v>2003</v>
      </c>
      <c r="H79" s="2972">
        <v>1</v>
      </c>
      <c r="I79" s="2969"/>
      <c r="J79" s="2969"/>
      <c r="K79" s="2969"/>
      <c r="L79" s="2969"/>
      <c r="S79" s="2900"/>
      <c r="T79" s="2886"/>
      <c r="U79" s="2886"/>
      <c r="X79" s="2961"/>
      <c r="Y79" s="2961"/>
      <c r="Z79" s="2961"/>
    </row>
    <row r="80" spans="1:26" ht="13.5" thickBot="1">
      <c r="A80" s="2897" t="s">
        <v>2606</v>
      </c>
      <c r="B80" s="2973">
        <v>106</v>
      </c>
      <c r="C80" s="2973">
        <v>107</v>
      </c>
      <c r="D80" s="2973">
        <f t="shared" si="175"/>
        <v>107</v>
      </c>
      <c r="E80" s="2973">
        <v>105</v>
      </c>
      <c r="F80" s="2974">
        <v>102</v>
      </c>
      <c r="G80" s="3549">
        <v>2002</v>
      </c>
      <c r="H80" s="2921">
        <v>4</v>
      </c>
      <c r="I80" s="2969"/>
      <c r="J80" s="2969"/>
      <c r="K80" s="2969"/>
      <c r="L80" s="2969"/>
      <c r="N80" s="2970"/>
      <c r="O80" s="2969"/>
      <c r="P80" s="2969"/>
      <c r="Q80" s="2969"/>
      <c r="S80" s="2970"/>
      <c r="T80" s="2969"/>
      <c r="U80" s="2969"/>
      <c r="V80" s="2969"/>
      <c r="X80" s="2961"/>
      <c r="Y80" s="2961"/>
      <c r="Z80" s="2961"/>
    </row>
    <row r="81" spans="1:26">
      <c r="A81" s="2897" t="s">
        <v>2607</v>
      </c>
      <c r="B81" s="2971">
        <f t="shared" ref="B81:C83" si="213">B82+(B$80-B$84)/4</f>
        <v>105</v>
      </c>
      <c r="C81" s="2971">
        <f t="shared" si="213"/>
        <v>106</v>
      </c>
      <c r="D81" s="2971">
        <f t="shared" si="175"/>
        <v>106</v>
      </c>
      <c r="E81" s="2971">
        <f t="shared" ref="E81:F83" si="214">E82+(E$80-E$84)/4</f>
        <v>104.5</v>
      </c>
      <c r="F81" s="2971">
        <f t="shared" si="214"/>
        <v>101.5</v>
      </c>
      <c r="G81" s="3550">
        <v>2002</v>
      </c>
      <c r="H81" s="2924">
        <v>3</v>
      </c>
      <c r="I81" s="2969"/>
      <c r="J81" s="2969"/>
      <c r="K81" s="2969"/>
      <c r="L81" s="2969"/>
      <c r="X81" s="2961"/>
      <c r="Y81" s="2961"/>
      <c r="Z81" s="2961"/>
    </row>
    <row r="82" spans="1:26">
      <c r="A82" s="2897" t="s">
        <v>2608</v>
      </c>
      <c r="B82" s="2971">
        <f t="shared" si="213"/>
        <v>104</v>
      </c>
      <c r="C82" s="2971">
        <f t="shared" si="213"/>
        <v>105</v>
      </c>
      <c r="D82" s="2971">
        <f t="shared" si="175"/>
        <v>105</v>
      </c>
      <c r="E82" s="2971">
        <f t="shared" si="214"/>
        <v>104</v>
      </c>
      <c r="F82" s="2971">
        <f t="shared" si="214"/>
        <v>101</v>
      </c>
      <c r="G82" s="3550">
        <v>2002</v>
      </c>
      <c r="H82" s="2912">
        <v>2</v>
      </c>
      <c r="I82" s="2969"/>
      <c r="J82" s="2969"/>
      <c r="K82" s="2969"/>
      <c r="L82" s="2969"/>
      <c r="X82" s="2961"/>
      <c r="Y82" s="2961"/>
      <c r="Z82" s="2961"/>
    </row>
    <row r="83" spans="1:26" s="2934" customFormat="1" ht="13.5" thickBot="1">
      <c r="A83" s="2930" t="s">
        <v>2609</v>
      </c>
      <c r="B83" s="2937">
        <f t="shared" si="213"/>
        <v>103</v>
      </c>
      <c r="C83" s="2937">
        <f t="shared" si="213"/>
        <v>104</v>
      </c>
      <c r="D83" s="2937">
        <f t="shared" si="175"/>
        <v>104</v>
      </c>
      <c r="E83" s="2937">
        <f t="shared" si="214"/>
        <v>103.5</v>
      </c>
      <c r="F83" s="2937">
        <f t="shared" si="214"/>
        <v>100.5</v>
      </c>
      <c r="G83" s="3551">
        <v>2002</v>
      </c>
      <c r="H83" s="2975">
        <v>1</v>
      </c>
      <c r="I83" s="2976"/>
      <c r="J83" s="2976"/>
      <c r="K83" s="2976"/>
      <c r="L83" s="2976"/>
      <c r="N83" s="2977"/>
      <c r="S83" s="2977"/>
      <c r="X83" s="2978"/>
      <c r="Y83" s="2978"/>
      <c r="Z83" s="2978"/>
    </row>
    <row r="84" spans="1:26" ht="13.5" thickBot="1">
      <c r="B84" s="2979">
        <v>102</v>
      </c>
      <c r="C84" s="2980">
        <v>103</v>
      </c>
      <c r="D84" s="2980">
        <f t="shared" si="175"/>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2610</v>
      </c>
      <c r="G86" s="2984"/>
      <c r="N86" s="2984"/>
      <c r="S86" s="2984"/>
    </row>
    <row r="87" spans="1:26" s="2983" customFormat="1">
      <c r="A87" s="2983" t="s">
        <v>2611</v>
      </c>
      <c r="G87" s="2984"/>
      <c r="N87" s="2984"/>
      <c r="S87" s="2984"/>
    </row>
    <row r="88" spans="1:26" s="2983" customFormat="1">
      <c r="A88" s="2983" t="s">
        <v>2612</v>
      </c>
      <c r="G88" s="2984"/>
      <c r="I88" s="2985"/>
      <c r="J88" s="2985"/>
      <c r="K88" s="2985"/>
      <c r="L88" s="2985"/>
      <c r="N88" s="2986"/>
      <c r="O88" s="2985"/>
      <c r="P88" s="2985"/>
      <c r="Q88" s="2985"/>
      <c r="S88" s="2986"/>
      <c r="T88" s="2985"/>
      <c r="U88" s="2985"/>
      <c r="V88" s="2985"/>
    </row>
    <row r="89" spans="1:26" s="2983" customFormat="1">
      <c r="A89" s="2983" t="s">
        <v>2613</v>
      </c>
      <c r="G89" s="2984"/>
      <c r="N89" s="2984"/>
      <c r="S89" s="2984"/>
    </row>
    <row r="96" spans="1:26" ht="13.5" thickBot="1"/>
    <row r="97" spans="7:22">
      <c r="G97" s="2885"/>
      <c r="S97" s="2987" t="s">
        <v>2614</v>
      </c>
      <c r="T97" s="2988" t="s">
        <v>2615</v>
      </c>
      <c r="U97" s="2988" t="s">
        <v>2616</v>
      </c>
      <c r="V97" s="2988" t="s">
        <v>2617</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2910</v>
      </c>
      <c r="B1" s="3244"/>
      <c r="C1" s="3244"/>
      <c r="D1" s="3244"/>
      <c r="E1" s="3244"/>
      <c r="F1" s="3244"/>
      <c r="G1" s="3245"/>
      <c r="H1" s="3245"/>
      <c r="I1" s="3245"/>
      <c r="J1" s="3245"/>
      <c r="K1" s="3245"/>
      <c r="L1" s="3245"/>
      <c r="M1" s="3245"/>
      <c r="N1" s="3245"/>
    </row>
    <row r="2" spans="1:14" ht="14.25">
      <c r="A2" s="3250" t="s">
        <v>2905</v>
      </c>
      <c r="B2" s="3255">
        <f ca="1">SUMIF(B7:B14,"&lt;&gt;#ref!",B7:B14)</f>
        <v>0</v>
      </c>
      <c r="C2" s="3250" t="s">
        <v>2906</v>
      </c>
      <c r="D2" s="3247"/>
      <c r="E2" s="3247"/>
      <c r="F2" s="3247"/>
      <c r="G2" s="3245"/>
      <c r="H2" s="3245"/>
      <c r="I2" s="3245"/>
      <c r="J2" s="3245"/>
      <c r="K2" s="3245"/>
      <c r="L2" s="3245"/>
      <c r="M2" s="3245"/>
      <c r="N2" s="3245"/>
    </row>
    <row r="3" spans="1:14" ht="14.25">
      <c r="A3" s="3250" t="s">
        <v>2935</v>
      </c>
      <c r="B3" s="3255" t="e">
        <f ca="1">ROUND(B2*10000/E3,0)</f>
        <v>#DIV/0!</v>
      </c>
      <c r="C3" s="3250" t="s">
        <v>2066</v>
      </c>
      <c r="D3" s="3250" t="s">
        <v>2907</v>
      </c>
      <c r="E3" s="3248">
        <f ca="1">SUMIF(E7:E14,"&lt;&gt;#ref!",E7:E14)</f>
        <v>0</v>
      </c>
      <c r="F3" s="3247"/>
      <c r="G3" s="3245"/>
      <c r="H3" s="3245"/>
      <c r="I3" s="3245"/>
      <c r="J3" s="3245"/>
      <c r="K3" s="3245"/>
      <c r="L3" s="3245"/>
      <c r="M3" s="3245"/>
      <c r="N3" s="3245"/>
    </row>
    <row r="4" spans="1:14" ht="14.25">
      <c r="A4" s="3250" t="s">
        <v>2913</v>
      </c>
      <c r="B4" s="3255" t="e">
        <f ca="1">ROUND(B2*10000/E4,0)</f>
        <v>#DIV/0!</v>
      </c>
      <c r="C4" s="3250" t="s">
        <v>2066</v>
      </c>
      <c r="D4" s="3250" t="s">
        <v>2914</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2911</v>
      </c>
      <c r="B6" s="3250" t="s">
        <v>2908</v>
      </c>
      <c r="C6" s="2789"/>
      <c r="D6" s="3247"/>
      <c r="E6" s="3250" t="s">
        <v>2909</v>
      </c>
      <c r="F6" s="3250" t="s">
        <v>2912</v>
      </c>
      <c r="G6" s="3245"/>
      <c r="H6" s="3245"/>
      <c r="I6" s="3245"/>
      <c r="J6" s="3245"/>
      <c r="K6" s="3245"/>
      <c r="L6" s="3245"/>
      <c r="M6" s="3245"/>
      <c r="N6" s="3245"/>
    </row>
    <row r="7" spans="1:14" ht="14.25">
      <c r="A7" s="3253"/>
      <c r="B7" s="3255" t="e">
        <f ca="1">SUMIF(INDIRECT("'"&amp;A7&amp;"'"&amp;"!A:A"),"总价",INDIRECT("'"&amp;A7&amp;"'"&amp;"!B:B"))</f>
        <v>#REF!</v>
      </c>
      <c r="C7" s="3250" t="s">
        <v>2906</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2906</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2906</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2906</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2906</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2906</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2906</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2906</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621</v>
      </c>
      <c r="B1" s="730"/>
      <c r="C1" s="763"/>
      <c r="D1" s="1933"/>
      <c r="E1" s="2242" t="s">
        <v>2358</v>
      </c>
      <c r="F1" s="2243">
        <f ca="1">J54</f>
        <v>-2</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622</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688</v>
      </c>
      <c r="I3" s="1940"/>
      <c r="J3" s="1940"/>
      <c r="K3" s="1941"/>
      <c r="L3" s="1940"/>
      <c r="M3" s="1940"/>
    </row>
    <row r="4" spans="1:25" ht="18" customHeight="1">
      <c r="A4" s="1574" t="s">
        <v>689</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690</v>
      </c>
      <c r="D5" s="1938"/>
      <c r="E5" s="1939"/>
      <c r="F5" s="1939"/>
      <c r="G5" s="1524"/>
      <c r="H5" s="766"/>
      <c r="I5" s="1940"/>
      <c r="J5" s="1940"/>
      <c r="K5" s="1941"/>
      <c r="L5" s="1940"/>
      <c r="M5" s="1940"/>
    </row>
    <row r="6" spans="1:25" ht="18" customHeight="1">
      <c r="A6" s="1743" t="s">
        <v>691</v>
      </c>
      <c r="B6" s="1735" t="s">
        <v>692</v>
      </c>
      <c r="C6" s="1735" t="s">
        <v>625</v>
      </c>
      <c r="D6" s="1735" t="s">
        <v>626</v>
      </c>
      <c r="E6" s="769" t="s">
        <v>627</v>
      </c>
      <c r="F6" s="770"/>
      <c r="G6" s="1526"/>
      <c r="H6" s="1743" t="s">
        <v>623</v>
      </c>
      <c r="I6" s="1735" t="s">
        <v>624</v>
      </c>
      <c r="J6" s="1735" t="s">
        <v>625</v>
      </c>
      <c r="K6" s="1735" t="s">
        <v>626</v>
      </c>
      <c r="L6" s="769" t="s">
        <v>627</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558" t="s">
        <v>2443</v>
      </c>
      <c r="C8" s="1740">
        <f ca="1">ROUND(F8*F10*F9*(1-F11)/10000,0)</f>
        <v>0</v>
      </c>
      <c r="D8" s="1737" t="s">
        <v>2514</v>
      </c>
      <c r="E8" s="61" t="s">
        <v>630</v>
      </c>
      <c r="F8" s="775">
        <f ca="1">INDIRECT("'数据-取费表'!u"&amp;$G$1)</f>
        <v>0</v>
      </c>
      <c r="G8" s="1526"/>
      <c r="H8" s="2357" t="s">
        <v>1814</v>
      </c>
      <c r="I8" s="3558" t="s">
        <v>2443</v>
      </c>
      <c r="J8" s="773">
        <f ca="1">ROUND(M8*M10*M9*(1-M11)/10000,0)</f>
        <v>0</v>
      </c>
      <c r="K8" s="339" t="s">
        <v>2514</v>
      </c>
      <c r="L8" s="774" t="s">
        <v>1728</v>
      </c>
      <c r="M8" s="775">
        <f ca="1">INDIRECT("'数据-取费表'!z"&amp;$G$1)</f>
        <v>0</v>
      </c>
    </row>
    <row r="9" spans="1:25" ht="18" customHeight="1">
      <c r="A9" s="2353"/>
      <c r="B9" s="3559"/>
      <c r="C9" s="1741"/>
      <c r="D9" s="1738"/>
      <c r="E9" s="61" t="s">
        <v>631</v>
      </c>
      <c r="F9" s="775">
        <f ca="1">IF(INDIRECT("'数据-取费表'!ah"&amp;$G$1)="",INDIRECT("'数据-取费表'!k"&amp;$G$1),INDIRECT("'数据-取费表'!ah"&amp;$G$1))</f>
        <v>0</v>
      </c>
      <c r="G9" s="1526"/>
      <c r="H9" s="2342"/>
      <c r="I9" s="3559"/>
      <c r="J9" s="778"/>
      <c r="K9" s="779"/>
      <c r="L9" s="774" t="s">
        <v>1729</v>
      </c>
      <c r="M9" s="775">
        <f ca="1">F9</f>
        <v>0</v>
      </c>
    </row>
    <row r="10" spans="1:25" ht="18" customHeight="1">
      <c r="A10" s="2346"/>
      <c r="B10" s="3560"/>
      <c r="C10" s="1741"/>
      <c r="D10" s="1738"/>
      <c r="E10" s="61" t="s">
        <v>632</v>
      </c>
      <c r="F10" s="775">
        <f ca="1">INDIRECT("'数据-取费表'!ai"&amp;$G$1)</f>
        <v>0</v>
      </c>
      <c r="G10" s="1526"/>
      <c r="H10" s="2342"/>
      <c r="I10" s="3560"/>
      <c r="J10" s="778"/>
      <c r="K10" s="779"/>
      <c r="L10" s="774" t="s">
        <v>1730</v>
      </c>
      <c r="M10" s="775">
        <f ca="1">INDIRECT("'数据-取费表'!ai"&amp;$G$1)</f>
        <v>0</v>
      </c>
    </row>
    <row r="11" spans="1:25" ht="18" customHeight="1">
      <c r="A11" s="776"/>
      <c r="B11" s="3561"/>
      <c r="C11" s="1741"/>
      <c r="D11" s="1738"/>
      <c r="E11" s="61" t="s">
        <v>633</v>
      </c>
      <c r="F11" s="784">
        <f ca="1">INDIRECT("'数据-取费表'!w"&amp;$G$1)</f>
        <v>0</v>
      </c>
      <c r="G11" s="1526"/>
      <c r="H11" s="2358"/>
      <c r="I11" s="3560"/>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634</v>
      </c>
      <c r="C15" s="782">
        <f ca="1">ROUND(C31*F15,0)</f>
        <v>0</v>
      </c>
      <c r="D15" s="1749" t="s">
        <v>635</v>
      </c>
      <c r="E15" s="785" t="s">
        <v>636</v>
      </c>
      <c r="F15" s="790">
        <f ca="1">INDIRECT("'数据-取费表'!y"&amp;$G$1)</f>
        <v>0</v>
      </c>
      <c r="G15" s="1526"/>
      <c r="H15" s="1744" t="s">
        <v>1816</v>
      </c>
      <c r="I15" s="1742" t="s">
        <v>637</v>
      </c>
      <c r="J15" s="1734">
        <f ca="1">ROUND(J16*J17,0)</f>
        <v>0</v>
      </c>
      <c r="K15" s="1736" t="s">
        <v>635</v>
      </c>
      <c r="L15" s="791"/>
      <c r="M15" s="792"/>
    </row>
    <row r="16" spans="1:25" ht="18" customHeight="1">
      <c r="A16" s="793" t="s">
        <v>1865</v>
      </c>
      <c r="B16" s="774" t="s">
        <v>638</v>
      </c>
      <c r="C16" s="794">
        <f ca="1">INDIRECT("'数据-取费表'!m"&amp;$G$1)+INDIRECT("'数据-取费表'!t"&amp;$G$1)</f>
        <v>0</v>
      </c>
      <c r="D16" s="1893" t="s">
        <v>639</v>
      </c>
      <c r="E16" s="1894"/>
      <c r="F16" s="795"/>
      <c r="G16" s="1526"/>
      <c r="H16" s="793" t="s">
        <v>2057</v>
      </c>
      <c r="I16" s="2111" t="s">
        <v>2803</v>
      </c>
      <c r="J16" s="53">
        <f ca="1">C31</f>
        <v>0</v>
      </c>
      <c r="K16" s="26"/>
      <c r="L16" s="791"/>
      <c r="M16" s="792"/>
    </row>
    <row r="17" spans="1:25" s="1947" customFormat="1" ht="18" customHeight="1">
      <c r="A17" s="793" t="s">
        <v>1839</v>
      </c>
      <c r="B17" s="774" t="s">
        <v>640</v>
      </c>
      <c r="C17" s="53">
        <f ca="1">ROUND(C16*F17,0)</f>
        <v>0</v>
      </c>
      <c r="D17" s="796" t="s">
        <v>641</v>
      </c>
      <c r="E17" s="796" t="s">
        <v>642</v>
      </c>
      <c r="F17" s="797">
        <f>'数据-取费表'!B33</f>
        <v>0.03</v>
      </c>
      <c r="G17" s="1527"/>
      <c r="H17" s="793" t="s">
        <v>2058</v>
      </c>
      <c r="I17" s="774" t="s">
        <v>636</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6"/>
      <c r="H18" s="787" t="s">
        <v>1817</v>
      </c>
      <c r="I18" s="788" t="s">
        <v>644</v>
      </c>
      <c r="J18" s="789">
        <f ca="1">ROUND(J19+J24+J25+J26,0)</f>
        <v>0</v>
      </c>
      <c r="K18" s="26" t="s">
        <v>645</v>
      </c>
      <c r="L18" s="1896"/>
      <c r="M18" s="56"/>
    </row>
    <row r="19" spans="1:25" s="1947" customFormat="1" ht="18" customHeight="1">
      <c r="A19" s="793" t="s">
        <v>1841</v>
      </c>
      <c r="B19" s="774" t="s">
        <v>646</v>
      </c>
      <c r="C19" s="53">
        <f ca="1">ROUND(F19*(INDIRECT("'数据-取费表'!k"&amp;$G$1)+INDIRECT("'数据-取费表'!S"&amp;$G$1))/10000,0)</f>
        <v>0</v>
      </c>
      <c r="D19" s="774" t="s">
        <v>647</v>
      </c>
      <c r="E19" s="774" t="s">
        <v>648</v>
      </c>
      <c r="F19" s="56">
        <f>'数据-取费表'!B35</f>
        <v>200</v>
      </c>
      <c r="G19" s="1527"/>
      <c r="H19" s="793" t="s">
        <v>2057</v>
      </c>
      <c r="I19" s="774" t="s">
        <v>649</v>
      </c>
      <c r="J19" s="3018">
        <f ca="1">ROUND(IF(AND(项目基本情况!B11="自然人",项目基本情况!B10="北京市"),J8*M19/(1+'数据-取费表'!C42),J20+J21+J22),0)</f>
        <v>0</v>
      </c>
      <c r="K19" s="1893" t="s">
        <v>650</v>
      </c>
      <c r="L19" s="1891" t="s">
        <v>651</v>
      </c>
      <c r="M19" s="3017">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1842</v>
      </c>
      <c r="B20" s="774" t="s">
        <v>652</v>
      </c>
      <c r="C20" s="53">
        <f ca="1">ROUND(C16*F20,0)</f>
        <v>0</v>
      </c>
      <c r="D20" s="774" t="s">
        <v>641</v>
      </c>
      <c r="E20" s="774" t="s">
        <v>642</v>
      </c>
      <c r="F20" s="799">
        <f>'数据-取费表'!B36</f>
        <v>1.4999999999999999E-2</v>
      </c>
      <c r="G20" s="1527"/>
      <c r="H20" s="793" t="s">
        <v>1821</v>
      </c>
      <c r="I20" s="774" t="s">
        <v>653</v>
      </c>
      <c r="J20" s="53">
        <f ca="1">ROUND(J8*M20/(1+'数据-取费表'!C42),1)</f>
        <v>0</v>
      </c>
      <c r="K20" s="1891" t="s">
        <v>654</v>
      </c>
      <c r="L20" s="774" t="s">
        <v>642</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655</v>
      </c>
      <c r="C21" s="53">
        <f ca="1">SUM(C16:C20)</f>
        <v>0</v>
      </c>
      <c r="D21" s="259" t="s">
        <v>656</v>
      </c>
      <c r="E21" s="1896"/>
      <c r="F21" s="56"/>
      <c r="G21" s="1526"/>
      <c r="H21" s="1745"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7" customFormat="1" ht="18" customHeight="1">
      <c r="A22" s="793" t="s">
        <v>1867</v>
      </c>
      <c r="B22" s="774" t="s">
        <v>659</v>
      </c>
      <c r="C22" s="53">
        <f ca="1">ROUND(C21*F22,0)</f>
        <v>0</v>
      </c>
      <c r="D22" s="801" t="s">
        <v>660</v>
      </c>
      <c r="E22" s="774" t="s">
        <v>642</v>
      </c>
      <c r="F22" s="799">
        <f>'数据-取费表'!B37</f>
        <v>0.02</v>
      </c>
      <c r="G22" s="1527"/>
      <c r="H22" s="1747" t="s">
        <v>1840</v>
      </c>
      <c r="I22" s="1737" t="s">
        <v>661</v>
      </c>
      <c r="J22" s="54">
        <f ca="1">ROUND(M22*M23/10000,0)</f>
        <v>0</v>
      </c>
      <c r="K22" s="803" t="s">
        <v>662</v>
      </c>
      <c r="L22" s="774" t="s">
        <v>663</v>
      </c>
      <c r="M22" s="632">
        <f>'数据-取费表'!B52</f>
        <v>3</v>
      </c>
      <c r="N22" s="1946"/>
      <c r="O22" s="1946"/>
      <c r="P22" s="1946"/>
      <c r="Q22" s="1946"/>
      <c r="R22" s="1946"/>
      <c r="S22" s="1946"/>
      <c r="T22" s="1946"/>
      <c r="U22" s="1946"/>
      <c r="V22" s="1946"/>
      <c r="W22" s="1946"/>
      <c r="X22" s="1946"/>
      <c r="Y22" s="1946"/>
    </row>
    <row r="23" spans="1:25" s="1947" customFormat="1" ht="18" customHeight="1">
      <c r="A23" s="793" t="s">
        <v>1868</v>
      </c>
      <c r="B23" s="774" t="s">
        <v>664</v>
      </c>
      <c r="C23" s="53" t="s">
        <v>1</v>
      </c>
      <c r="D23" s="801" t="s">
        <v>665</v>
      </c>
      <c r="E23" s="774" t="s">
        <v>666</v>
      </c>
      <c r="F23" s="799">
        <f>'数据-取费表'!B38</f>
        <v>0.02</v>
      </c>
      <c r="G23" s="1527"/>
      <c r="H23" s="1748"/>
      <c r="I23" s="1739"/>
      <c r="J23" s="69"/>
      <c r="K23" s="805"/>
      <c r="L23" s="774" t="s">
        <v>667</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668</v>
      </c>
      <c r="C24" s="53"/>
      <c r="D24" s="2424" t="str">
        <f>IF(F25&lt;=1,"单利计息。","复利计息。")&amp;"建造成本、管理费用、销售费用产生的利息。"</f>
        <v>复利计息。建造成本、管理费用、销售费用产生的利息。</v>
      </c>
      <c r="E24" s="1896"/>
      <c r="F24" s="56"/>
      <c r="G24" s="1526"/>
      <c r="H24" s="1746" t="s">
        <v>2058</v>
      </c>
      <c r="I24" s="774" t="s">
        <v>669</v>
      </c>
      <c r="J24" s="53">
        <f ca="1">ROUND(J16*M24,0)</f>
        <v>0</v>
      </c>
      <c r="K24" s="1891" t="s">
        <v>670</v>
      </c>
      <c r="L24" s="774" t="s">
        <v>642</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671</v>
      </c>
      <c r="F25" s="632">
        <f>'数据-取费表'!B20</f>
        <v>2</v>
      </c>
      <c r="G25" s="1527"/>
      <c r="H25" s="793" t="s">
        <v>1868</v>
      </c>
      <c r="I25" s="774" t="s">
        <v>672</v>
      </c>
      <c r="J25" s="53">
        <f ca="1">ROUND(J15*M25,0)</f>
        <v>0</v>
      </c>
      <c r="K25" s="1891" t="s">
        <v>673</v>
      </c>
      <c r="L25" s="774" t="s">
        <v>642</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674</v>
      </c>
      <c r="C26" s="53">
        <f ca="1">ROUND(IF('数据-取费表'!B22&lt;=1,F23*F26*F25/2,F23*(POWER((1+F26),F25/2)-1)),4)</f>
        <v>8.9999999999999998E-4</v>
      </c>
      <c r="D26" s="2423" t="str">
        <f>IF(F25&lt;=1,"销售费用×利率×(建设周期÷2)","销售费用×((1+利率)^(建设周期÷2)-1)")</f>
        <v>销售费用×((1+利率)^(建设周期÷2)-1)</v>
      </c>
      <c r="E26" s="774" t="s">
        <v>675</v>
      </c>
      <c r="F26" s="808">
        <f ca="1">'数据-取费表'!B40</f>
        <v>4.3499999999999997E-2</v>
      </c>
      <c r="G26" s="1527"/>
      <c r="H26" s="793" t="s">
        <v>1869</v>
      </c>
      <c r="I26" s="774" t="s">
        <v>659</v>
      </c>
      <c r="J26" s="53">
        <f ca="1">ROUND(J7*M26,0)</f>
        <v>0</v>
      </c>
      <c r="K26" s="1891" t="s">
        <v>676</v>
      </c>
      <c r="L26" s="774" t="s">
        <v>642</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677</v>
      </c>
      <c r="C27" s="53"/>
      <c r="D27" s="259" t="s">
        <v>678</v>
      </c>
      <c r="E27" s="1896"/>
      <c r="F27" s="56"/>
      <c r="G27" s="1526"/>
      <c r="H27" s="787" t="s">
        <v>1818</v>
      </c>
      <c r="I27" s="2723" t="s">
        <v>2800</v>
      </c>
      <c r="J27" s="789">
        <f ca="1">J7-J18</f>
        <v>0</v>
      </c>
      <c r="K27" s="1893" t="s">
        <v>693</v>
      </c>
      <c r="L27" s="1895"/>
      <c r="M27" s="809"/>
    </row>
    <row r="28" spans="1:25" ht="18" customHeight="1">
      <c r="A28" s="793" t="s">
        <v>1865</v>
      </c>
      <c r="B28" s="774" t="s">
        <v>2421</v>
      </c>
      <c r="C28" s="53">
        <f ca="1">ROUND((C21+C22)*F28,0)</f>
        <v>0</v>
      </c>
      <c r="D28" s="801" t="s">
        <v>694</v>
      </c>
      <c r="E28" s="785" t="s">
        <v>695</v>
      </c>
      <c r="F28" s="784">
        <f ca="1">INDIRECT("'数据-取费表'!q"&amp;$G$1)</f>
        <v>0</v>
      </c>
      <c r="G28" s="1526"/>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6"/>
      <c r="H29" s="776"/>
      <c r="I29" s="777"/>
      <c r="J29" s="778"/>
      <c r="K29" s="810" t="s">
        <v>700</v>
      </c>
      <c r="L29" s="774" t="s">
        <v>701</v>
      </c>
      <c r="M29" s="811">
        <f ca="1">INDIRECT("'数据-取费表'!ag"&amp;$G$1)</f>
        <v>0</v>
      </c>
    </row>
    <row r="30" spans="1:25" s="1947" customFormat="1" ht="18" customHeight="1">
      <c r="A30" s="793" t="s">
        <v>1872</v>
      </c>
      <c r="B30" s="774" t="s">
        <v>680</v>
      </c>
      <c r="C30" s="53">
        <f>ROUND(F30/(1+'数据-取费表'!C42),4)</f>
        <v>5.2400000000000002E-2</v>
      </c>
      <c r="D30" s="801" t="s">
        <v>702</v>
      </c>
      <c r="E30" s="774" t="s">
        <v>642</v>
      </c>
      <c r="F30" s="799">
        <f>'数据-取费表'!B41</f>
        <v>5.5000000000000007E-2</v>
      </c>
      <c r="G30" s="1527"/>
      <c r="H30" s="780"/>
      <c r="I30" s="781"/>
      <c r="J30" s="782"/>
      <c r="K30" s="805"/>
      <c r="L30" s="774" t="s">
        <v>703</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4" t="s">
        <v>2802</v>
      </c>
      <c r="J31" s="814">
        <f ca="1">ROUND(J28/(1+F45)^F46,0)</f>
        <v>0</v>
      </c>
      <c r="K31" s="815" t="s">
        <v>681</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682</v>
      </c>
      <c r="C32" s="782">
        <f ca="1">ROUND(C33+C38+C39+C40,0)</f>
        <v>0</v>
      </c>
      <c r="D32" s="1736" t="s">
        <v>645</v>
      </c>
      <c r="E32" s="2340"/>
      <c r="F32" s="2344"/>
      <c r="G32" s="1945"/>
      <c r="H32" s="1948"/>
      <c r="I32" s="1949"/>
      <c r="J32" s="1950"/>
      <c r="K32" s="1951"/>
      <c r="L32" s="1952"/>
      <c r="M32" s="1953"/>
    </row>
    <row r="33" spans="1:18" ht="18" customHeight="1">
      <c r="A33" s="793" t="s">
        <v>1866</v>
      </c>
      <c r="B33" s="774" t="s">
        <v>649</v>
      </c>
      <c r="C33" s="3018">
        <f ca="1">ROUND(IF(AND(项目基本情况!B11="自然人",项目基本情况!B10="北京市"),C8*F33/(1+'数据-取费表'!C42),C34+C35+C36),0)</f>
        <v>0</v>
      </c>
      <c r="D33" s="1893" t="s">
        <v>650</v>
      </c>
      <c r="E33" s="1891" t="s">
        <v>683</v>
      </c>
      <c r="F33" s="3017">
        <f ca="1">IF(项目基本情况!B11="企业","——",IF('数据-取费表'!B10="住宅",IF(F8*F9*F10/12/(1+'数据-取费表'!F30)&gt;100000,4%,2.5%),IF(F8*F9*F10/12/(1+'数据-取费表'!F30)&gt;100000,12%,7%)))</f>
        <v>7.0000000000000007E-2</v>
      </c>
      <c r="G33" s="1945"/>
      <c r="H33" s="3256" t="s">
        <v>2989</v>
      </c>
      <c r="I33" s="1949"/>
      <c r="J33" s="1950"/>
      <c r="K33" s="1951"/>
      <c r="L33" s="1952"/>
      <c r="M33" s="1953"/>
    </row>
    <row r="34" spans="1:18" ht="18" customHeight="1">
      <c r="A34" s="793" t="s">
        <v>1865</v>
      </c>
      <c r="B34" s="774" t="s">
        <v>653</v>
      </c>
      <c r="C34" s="53">
        <f ca="1">ROUND(C8*F34/(1+'数据-取费表'!C42),1)</f>
        <v>0</v>
      </c>
      <c r="D34" s="1891" t="s">
        <v>654</v>
      </c>
      <c r="E34" s="774" t="s">
        <v>642</v>
      </c>
      <c r="F34" s="799">
        <f>'数据-取费表'!B41</f>
        <v>5.5000000000000007E-2</v>
      </c>
      <c r="G34" s="1945"/>
      <c r="H34" s="1954"/>
      <c r="I34" s="1955"/>
      <c r="J34" s="1956"/>
      <c r="K34" s="1957"/>
      <c r="L34" s="1958"/>
      <c r="M34" s="1959"/>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5"/>
      <c r="H35" s="1960"/>
      <c r="I35" s="1960"/>
      <c r="J35" s="1960"/>
      <c r="K35" s="1961"/>
      <c r="L35" s="1960"/>
      <c r="M35" s="1960"/>
    </row>
    <row r="36" spans="1:18" ht="18" customHeight="1">
      <c r="A36" s="802" t="s">
        <v>1870</v>
      </c>
      <c r="B36" s="339" t="s">
        <v>661</v>
      </c>
      <c r="C36" s="54">
        <f ca="1">ROUND(F36*F37/10000,1)</f>
        <v>0</v>
      </c>
      <c r="D36" s="803" t="s">
        <v>662</v>
      </c>
      <c r="E36" s="774" t="s">
        <v>663</v>
      </c>
      <c r="F36" s="632">
        <f>'数据-取费表'!B52</f>
        <v>3</v>
      </c>
      <c r="G36" s="1945"/>
      <c r="H36" s="1948"/>
      <c r="I36" s="3557"/>
      <c r="J36" s="1962"/>
      <c r="K36" s="1963"/>
      <c r="L36" s="1962"/>
      <c r="M36" s="1962"/>
    </row>
    <row r="37" spans="1:18" ht="18" customHeight="1">
      <c r="A37" s="804"/>
      <c r="B37" s="783"/>
      <c r="C37" s="69"/>
      <c r="D37" s="805"/>
      <c r="E37" s="774" t="s">
        <v>667</v>
      </c>
      <c r="F37" s="775">
        <f ca="1">INDIRECT("'数据-取费表'!r"&amp;$G$1)</f>
        <v>0</v>
      </c>
      <c r="G37" s="1945"/>
      <c r="H37" s="1948"/>
      <c r="I37" s="3557"/>
      <c r="J37" s="1960"/>
      <c r="K37" s="1961"/>
      <c r="L37" s="1960"/>
      <c r="M37" s="1960"/>
    </row>
    <row r="38" spans="1:18" ht="18" customHeight="1">
      <c r="A38" s="793" t="s">
        <v>1867</v>
      </c>
      <c r="B38" s="774" t="s">
        <v>669</v>
      </c>
      <c r="C38" s="53">
        <f ca="1">ROUND(C31*F38,1)</f>
        <v>0</v>
      </c>
      <c r="D38" s="1891" t="s">
        <v>684</v>
      </c>
      <c r="E38" s="774" t="s">
        <v>642</v>
      </c>
      <c r="F38" s="806">
        <f ca="1">INDIRECT("'数据-取费表'!Ak"&amp;$G$1)</f>
        <v>0</v>
      </c>
      <c r="G38" s="1945"/>
      <c r="H38" s="1960"/>
      <c r="I38" s="3021"/>
      <c r="J38" s="1900"/>
      <c r="K38" s="1964"/>
      <c r="L38" s="1960"/>
      <c r="M38" s="1960"/>
    </row>
    <row r="39" spans="1:18" ht="18" customHeight="1">
      <c r="A39" s="793" t="s">
        <v>1868</v>
      </c>
      <c r="B39" s="774" t="s">
        <v>672</v>
      </c>
      <c r="C39" s="53">
        <f ca="1">ROUND(C15*F39,1)</f>
        <v>0</v>
      </c>
      <c r="D39" s="1891" t="s">
        <v>673</v>
      </c>
      <c r="E39" s="774" t="s">
        <v>642</v>
      </c>
      <c r="F39" s="807">
        <f ca="1">INDIRECT("'数据-取费表'!Al"&amp;$G$1)</f>
        <v>0</v>
      </c>
      <c r="G39" s="1945"/>
      <c r="H39" s="1960"/>
      <c r="I39" s="3021"/>
      <c r="J39" s="1900"/>
      <c r="K39" s="1964"/>
      <c r="L39" s="1960"/>
      <c r="M39" s="1960"/>
    </row>
    <row r="40" spans="1:18" ht="18" customHeight="1" thickBot="1">
      <c r="A40" s="2413" t="s">
        <v>1869</v>
      </c>
      <c r="B40" s="2399" t="s">
        <v>659</v>
      </c>
      <c r="C40" s="2397">
        <f ca="1">ROUND(C7*F40,1)</f>
        <v>0</v>
      </c>
      <c r="D40" s="2398" t="s">
        <v>676</v>
      </c>
      <c r="E40" s="2399" t="s">
        <v>642</v>
      </c>
      <c r="F40" s="2395">
        <f ca="1">INDIRECT("'数据-取费表'!Am"&amp;$G$1)</f>
        <v>0</v>
      </c>
      <c r="G40" s="1945"/>
      <c r="H40" s="1960"/>
      <c r="I40" s="3021"/>
      <c r="J40" s="1900"/>
      <c r="K40" s="1965"/>
      <c r="L40" s="1960"/>
      <c r="M40" s="1960"/>
    </row>
    <row r="41" spans="1:18" ht="18" customHeight="1" thickTop="1">
      <c r="A41" s="1744">
        <v>4</v>
      </c>
      <c r="B41" s="1742" t="s">
        <v>685</v>
      </c>
      <c r="C41" s="1306"/>
      <c r="D41" s="1307"/>
      <c r="E41" s="1307"/>
      <c r="F41" s="1308"/>
      <c r="G41" s="1945"/>
      <c r="H41" s="1945"/>
      <c r="I41" s="1945"/>
      <c r="J41" s="1945"/>
      <c r="K41" s="1965"/>
      <c r="L41" s="1945"/>
      <c r="M41" s="1945"/>
    </row>
    <row r="42" spans="1:18" ht="18" customHeight="1">
      <c r="A42" s="793" t="s">
        <v>1866</v>
      </c>
      <c r="B42" s="824" t="s">
        <v>686</v>
      </c>
      <c r="C42" s="818">
        <f ca="1">C7-C32</f>
        <v>0</v>
      </c>
      <c r="D42" s="1893" t="s">
        <v>687</v>
      </c>
      <c r="E42" s="1895"/>
      <c r="F42" s="809"/>
      <c r="G42" s="1945"/>
      <c r="H42" s="1945"/>
      <c r="I42" s="1945"/>
      <c r="J42" s="1945"/>
      <c r="K42" s="1965"/>
      <c r="L42" s="1945"/>
      <c r="M42" s="1945"/>
    </row>
    <row r="43" spans="1:18" ht="18" customHeight="1">
      <c r="A43" s="793" t="s">
        <v>1867</v>
      </c>
      <c r="B43" s="824" t="s">
        <v>704</v>
      </c>
      <c r="C43" s="825">
        <f ca="1">ROUND(C15*F43,0)</f>
        <v>0</v>
      </c>
      <c r="D43" s="1309" t="s">
        <v>705</v>
      </c>
      <c r="E43" s="2794" t="s">
        <v>2921</v>
      </c>
      <c r="F43" s="2795">
        <f ca="1">INDIRECT("'数据-取费表'!j"&amp;$G$1)</f>
        <v>0</v>
      </c>
      <c r="G43" s="1945"/>
      <c r="H43" s="1945"/>
      <c r="I43" s="1945"/>
      <c r="J43" s="1945"/>
      <c r="K43" s="1965"/>
      <c r="L43" s="1945"/>
      <c r="M43" s="1945"/>
    </row>
    <row r="44" spans="1:18" ht="18" customHeight="1">
      <c r="A44" s="793" t="s">
        <v>1868</v>
      </c>
      <c r="B44" s="824" t="s">
        <v>706</v>
      </c>
      <c r="C44" s="1310">
        <f ca="1">C42-C43</f>
        <v>0</v>
      </c>
      <c r="D44" s="457" t="s">
        <v>707</v>
      </c>
      <c r="E44" s="458"/>
      <c r="F44" s="459"/>
      <c r="G44" s="1945"/>
      <c r="H44" s="1945"/>
      <c r="I44" s="1945"/>
      <c r="J44" s="1945"/>
      <c r="K44" s="1965"/>
      <c r="L44" s="1945"/>
      <c r="M44" s="1945"/>
    </row>
    <row r="45" spans="1:18" ht="18" customHeight="1">
      <c r="A45" s="793" t="s">
        <v>1869</v>
      </c>
      <c r="B45" s="1309" t="s">
        <v>708</v>
      </c>
      <c r="C45" s="2750">
        <f ca="1">ROUND(-PV(F45,F46,C44,0),0)</f>
        <v>0</v>
      </c>
      <c r="D45" s="1311" t="s">
        <v>709</v>
      </c>
      <c r="E45" s="796" t="s">
        <v>710</v>
      </c>
      <c r="F45" s="819">
        <f ca="1">INDIRECT("'数据-取费表'!h"&amp;$G$1)</f>
        <v>0</v>
      </c>
      <c r="G45" s="1945"/>
      <c r="H45" s="1945"/>
      <c r="I45" s="1945"/>
      <c r="J45" s="1945"/>
      <c r="K45" s="1965"/>
      <c r="L45" s="1945"/>
      <c r="M45" s="1945"/>
    </row>
    <row r="46" spans="1:18" ht="18" customHeight="1" thickBot="1">
      <c r="A46" s="820"/>
      <c r="B46" s="1312"/>
      <c r="C46" s="1313"/>
      <c r="D46" s="1314"/>
      <c r="E46" s="2796"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3"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2936</v>
      </c>
      <c r="J54" s="2857">
        <f ca="1">IF(M48="住宅",MAX(J52,L49-'数据-取费表'!B20),MIN(J52,L49-'数据-取费表'!B20))</f>
        <v>-2</v>
      </c>
      <c r="K54" s="3562"/>
      <c r="L54" s="3563"/>
      <c r="O54" s="2256" t="s">
        <v>2372</v>
      </c>
      <c r="P54" s="2254" t="s">
        <v>2373</v>
      </c>
      <c r="Q54" s="2255">
        <f ca="1">J54</f>
        <v>-2</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7"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1668</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8"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2904</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5">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J47" sqref="J47"/>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460</v>
      </c>
      <c r="B2" s="1987">
        <f ca="1">C36</f>
        <v>50351</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7383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461</v>
      </c>
      <c r="B4" s="421">
        <f ca="1">ROUND(B2*10000/IF(B1="",'数据-汇总表'!D3,INDIRECT("'数据-取费表'!R"&amp;$K$1)),0)</f>
        <v>27976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1865</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99830</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463</v>
      </c>
      <c r="B7" s="2550" t="s">
        <v>464</v>
      </c>
      <c r="C7" s="430" t="s">
        <v>3230</v>
      </c>
      <c r="D7" s="430" t="s">
        <v>3234</v>
      </c>
      <c r="E7" s="430" t="s">
        <v>3232</v>
      </c>
      <c r="F7" s="430" t="s">
        <v>3243</v>
      </c>
      <c r="G7" s="430"/>
      <c r="H7" s="430"/>
      <c r="I7" s="430"/>
      <c r="J7" s="430"/>
      <c r="K7" s="431"/>
      <c r="AA7" s="1994"/>
      <c r="AB7" s="1994"/>
      <c r="AC7" s="1994"/>
      <c r="AD7" s="1994"/>
      <c r="AE7" s="1994"/>
    </row>
    <row r="8" spans="1:31" s="1997" customFormat="1" ht="13.5" customHeight="1">
      <c r="A8" s="793" t="s">
        <v>1835</v>
      </c>
      <c r="B8" s="259" t="s">
        <v>465</v>
      </c>
      <c r="C8" s="2551">
        <f ca="1">'不动产收益法-公寓'!B3</f>
        <v>21406</v>
      </c>
      <c r="D8" s="2551">
        <f ca="1">'不动产收益法-酒店'!B3</f>
        <v>22275</v>
      </c>
      <c r="E8" s="2551">
        <f ca="1">'不动产收益法-商业'!B3</f>
        <v>34902</v>
      </c>
      <c r="F8" s="2551">
        <f ca="1">'不动产收益法-车库'!B3</f>
        <v>2611</v>
      </c>
      <c r="G8" s="2551"/>
      <c r="H8" s="2551"/>
      <c r="I8" s="2551"/>
      <c r="J8" s="2551"/>
      <c r="K8" s="2552"/>
      <c r="AA8" s="1996"/>
      <c r="AB8" s="1996"/>
      <c r="AC8" s="1996"/>
      <c r="AD8" s="1996"/>
      <c r="AE8" s="1996"/>
    </row>
    <row r="9" spans="1:31" s="1997" customFormat="1" ht="13.5" customHeight="1">
      <c r="A9" s="793" t="s">
        <v>1836</v>
      </c>
      <c r="B9" s="259" t="s">
        <v>466</v>
      </c>
      <c r="C9" s="435">
        <f>SUMIF('数据-汇总表'!$C19:$C33,'剩余法-待开发'!C7,'数据-汇总表'!$E19:$E33)</f>
        <v>15600</v>
      </c>
      <c r="D9" s="435">
        <f>SUMIF('数据-汇总表'!$C19:$C33,'剩余法-待开发'!D7,'数据-汇总表'!$E19:$E33)</f>
        <v>13500</v>
      </c>
      <c r="E9" s="435">
        <f>SUMIF('数据-汇总表'!$C19:$C33,'剩余法-待开发'!E7,'数据-汇总表'!$E19:$E33)</f>
        <v>8100</v>
      </c>
      <c r="F9" s="435">
        <f>SUMIF('数据-汇总表'!$C19:$C33,'剩余法-待开发'!F7,'数据-汇总表'!$E19:$E33)</f>
        <v>31000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467</v>
      </c>
      <c r="C10" s="2741">
        <f ca="1">'不动产收益法-公寓'!B2</f>
        <v>33393</v>
      </c>
      <c r="D10" s="2741">
        <f ca="1">'不动产收益法-酒店'!B2</f>
        <v>30071</v>
      </c>
      <c r="E10" s="2741">
        <f ca="1">'不动产收益法-商业'!B2</f>
        <v>28271</v>
      </c>
      <c r="F10" s="2554">
        <f ca="1">'不动产收益法-车库'!B2</f>
        <v>8095</v>
      </c>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463</v>
      </c>
      <c r="B12" s="2529" t="s">
        <v>464</v>
      </c>
      <c r="C12" s="2558" t="s">
        <v>468</v>
      </c>
      <c r="D12" s="2525" t="s">
        <v>469</v>
      </c>
      <c r="E12" s="2525" t="s">
        <v>470</v>
      </c>
      <c r="F12" s="2525" t="s">
        <v>471</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1838</v>
      </c>
      <c r="B13" s="2560" t="s">
        <v>472</v>
      </c>
      <c r="C13" s="444">
        <f ca="1">IF(B1="",'数据-取费表'!P16,INDIRECT("'数据-取费表'!p"&amp;$K$1)+INDIRECT("'数据-取费表'!t"&amp;$K$1))</f>
        <v>23940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473</v>
      </c>
      <c r="C14" s="53">
        <f ca="1">ROUND(C13*F14,0)</f>
        <v>718</v>
      </c>
      <c r="D14" s="2561"/>
      <c r="E14" s="2562"/>
      <c r="F14" s="2564">
        <f>'数据-取费表'!B33</f>
        <v>0.03</v>
      </c>
      <c r="G14" s="2529" t="s">
        <v>474</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475</v>
      </c>
      <c r="C15" s="53">
        <f ca="1">ROUND(IF(B1="",SUMIF('数据-取费表'!C:C,"住宅",'数据-取费表'!P:P)*F15,IF(INDIRECT("'数据-取费表'!c"&amp;$K$1)="住宅",INDIRECT("'数据-取费表'!P"&amp;$K$1)*F15,0)),0)</f>
        <v>0</v>
      </c>
      <c r="D15" s="2561"/>
      <c r="E15" s="2562"/>
      <c r="F15" s="2564">
        <f>'数据-取费表'!B34</f>
        <v>0</v>
      </c>
      <c r="G15" s="2529" t="s">
        <v>476</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477</v>
      </c>
      <c r="C16" s="53">
        <f ca="1">ROUND(D16*E16/10000,0)</f>
        <v>1364</v>
      </c>
      <c r="D16" s="2561">
        <f ca="1">IF(B1="",'数据-汇总表'!E3,INDIRECT("'数据-取费表'!K"&amp;$K$1)+INDIRECT("'数据-取费表'!S"&amp;$K$1))</f>
        <v>68200</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478</v>
      </c>
      <c r="C17" s="2565">
        <f ca="1">ROUND(C13*F17,0)</f>
        <v>359</v>
      </c>
      <c r="D17" s="469"/>
      <c r="E17" s="2565"/>
      <c r="F17" s="2566">
        <f>'数据-取费表'!B36</f>
        <v>1.4999999999999999E-2</v>
      </c>
      <c r="G17" s="259" t="s">
        <v>479</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480</v>
      </c>
      <c r="C18" s="2569">
        <f ca="1">SUM(C13:C17)</f>
        <v>26381</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481</v>
      </c>
      <c r="C19" s="2525">
        <f ca="1">ROUND(D19*E19/10000,0)</f>
        <v>0</v>
      </c>
      <c r="D19" s="2571">
        <f ca="1">D16</f>
        <v>68200</v>
      </c>
      <c r="E19" s="2525">
        <f>'数据-取费表'!B32</f>
        <v>0</v>
      </c>
      <c r="F19" s="462"/>
      <c r="G19" s="2529" t="s">
        <v>482</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483</v>
      </c>
      <c r="C20" s="2525">
        <f ca="1">C21+C22-IF(B1="",'数据-取费表'!B29,IF(G20="已全部缴纳",C21+C22,H20))</f>
        <v>1364</v>
      </c>
      <c r="D20" s="2571"/>
      <c r="E20" s="2525"/>
      <c r="F20" s="2572"/>
      <c r="G20" s="2775"/>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484</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485</v>
      </c>
      <c r="C22" s="53">
        <f ca="1">ROUND(D22*E22/10000,0)</f>
        <v>1364</v>
      </c>
      <c r="D22" s="2561">
        <f ca="1">IF(B1="",'数据-汇总表'!E6,IF(INDIRECT("'数据-取费表'!c"&amp;$K$1)="住宅",INDIRECT("'数据-取费表'!s"&amp;$K$1),INDIRECT("'数据-取费表'!k"&amp;$K$1)+INDIRECT("'数据-取费表'!s"&amp;$K$1)))</f>
        <v>68200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7" t="s">
        <v>2812</v>
      </c>
      <c r="C23" s="2569">
        <f ca="1">ROUND((C18+C19+C20)*F23,0)</f>
        <v>555</v>
      </c>
      <c r="D23" s="462"/>
      <c r="E23" s="462"/>
      <c r="F23" s="2573">
        <f>'数据-取费表'!B37</f>
        <v>0.02</v>
      </c>
      <c r="G23" s="2529" t="s">
        <v>2414</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1849</v>
      </c>
      <c r="B24" s="2747" t="s">
        <v>2815</v>
      </c>
      <c r="C24" s="2569">
        <f ca="1">ROUND(C6*F24,0)</f>
        <v>1997</v>
      </c>
      <c r="D24" s="469"/>
      <c r="E24" s="467"/>
      <c r="F24" s="2573">
        <f>'数据-取费表'!B38</f>
        <v>0.02</v>
      </c>
      <c r="G24" s="2538" t="s">
        <v>492</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1850</v>
      </c>
      <c r="B25" s="2747" t="s">
        <v>2813</v>
      </c>
      <c r="C25" s="461">
        <f>ROUND(F25/(1+'数据-取费表'!C42),4)</f>
        <v>2.9000000000000001E-2</v>
      </c>
      <c r="D25" s="456" t="s">
        <v>2807</v>
      </c>
      <c r="E25" s="463"/>
      <c r="F25" s="2573">
        <f>IF(项目基本情况!B8="出让",0,'数据-取费表'!B48+'数据-取费表'!B49)</f>
        <v>3.0499999999999999E-2</v>
      </c>
      <c r="G25" s="2537" t="s">
        <v>2276</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1851</v>
      </c>
      <c r="B26" s="2748" t="s">
        <v>2814</v>
      </c>
      <c r="C26" s="2574">
        <f ca="1">C28</f>
        <v>1318</v>
      </c>
      <c r="D26" s="461">
        <f ca="1">C27</f>
        <v>9.1499999999999998E-2</v>
      </c>
      <c r="E26" s="463" t="s">
        <v>488</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1846</v>
      </c>
      <c r="B27" s="2575" t="s">
        <v>489</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1847</v>
      </c>
      <c r="B28" s="2575" t="s">
        <v>2816</v>
      </c>
      <c r="C28" s="2577">
        <f ca="1">ROUND(IF('数据-取费表'!B22&lt;=1,(C18+C19+C20+C23+C24)*F26*'数据-取费表'!B24/2,(C18+C19+C20+C23+C24)*(POWER((1+F26),'数据-取费表'!B24/2)-1)),0)</f>
        <v>1318</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1852</v>
      </c>
      <c r="B29" s="2568" t="s">
        <v>490</v>
      </c>
      <c r="C29" s="2569">
        <f ca="1">ROUND(C6*F29/(1+'数据-取费表'!C42),0)</f>
        <v>5229</v>
      </c>
      <c r="D29" s="462"/>
      <c r="E29" s="462"/>
      <c r="F29" s="2749">
        <f>'数据-取费表'!B41</f>
        <v>5.5000000000000007E-2</v>
      </c>
      <c r="G29" s="2538" t="s">
        <v>491</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3" t="s">
        <v>1853</v>
      </c>
      <c r="B30" s="2579" t="s">
        <v>493</v>
      </c>
      <c r="C30" s="2574">
        <f ca="1">C31</f>
        <v>36844</v>
      </c>
      <c r="D30" s="471">
        <f ca="1">C32</f>
        <v>0.1205</v>
      </c>
      <c r="E30" s="463" t="s">
        <v>488</v>
      </c>
      <c r="F30" s="465"/>
      <c r="G30" s="2537" t="s">
        <v>2930</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1846</v>
      </c>
      <c r="B31" s="2575"/>
      <c r="C31" s="444">
        <f ca="1">C18+C19+C20+C23+C24+C26+C29</f>
        <v>36844</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1847</v>
      </c>
      <c r="B32" s="2575"/>
      <c r="C32" s="53">
        <f ca="1">ROUND(C25+D26,4)</f>
        <v>0.1205</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6" t="s">
        <v>2811</v>
      </c>
      <c r="B33" s="2744" t="s">
        <v>2809</v>
      </c>
      <c r="C33" s="472">
        <f ca="1">C35</f>
        <v>2424</v>
      </c>
      <c r="D33" s="461">
        <f ca="1">C34</f>
        <v>8.2299999999999998E-2</v>
      </c>
      <c r="E33" s="463" t="s">
        <v>488</v>
      </c>
      <c r="F33" s="473">
        <f ca="1">IF(B1="",'数据-取费表'!Q16,INDIRECT("'数据-取费表'!q"&amp;$K$1))</f>
        <v>0.08</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1846</v>
      </c>
      <c r="B34" s="2580" t="s">
        <v>494</v>
      </c>
      <c r="C34" s="466">
        <f ca="1">ROUND((1+C25)*F33,4)</f>
        <v>8.2299999999999998E-2</v>
      </c>
      <c r="D34" s="466"/>
      <c r="E34" s="467"/>
      <c r="F34" s="474"/>
      <c r="G34" s="259" t="s">
        <v>2277</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1847</v>
      </c>
      <c r="B35" s="2745" t="s">
        <v>2817</v>
      </c>
      <c r="C35" s="1556">
        <f ca="1">ROUND((C18+C19+C20+C23+C24)*F33,0)</f>
        <v>2424</v>
      </c>
      <c r="D35" s="1557"/>
      <c r="E35" s="2581"/>
      <c r="F35" s="1558"/>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1834</v>
      </c>
      <c r="B36" s="2543"/>
      <c r="C36" s="2582">
        <f ca="1">ROUND((C6-C30-C33)/(1+D30+D33),0)</f>
        <v>50351</v>
      </c>
      <c r="D36" s="2543"/>
      <c r="E36" s="2543"/>
      <c r="F36" s="2543"/>
      <c r="G36" s="2542" t="s">
        <v>2818</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受贵公司委托，我公司对北京市北京经济技术开发区核心区67#街区67F1地块出让国有建设用地使用权抵押价格进行了预评估。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经济技术开发区核心区67#街区67F1地块出让国有建设用地使用权。根据《国有土地使用证》[]，估价对象（分摊）出让国有建设用地使用权面积为17997.97平方米。根据《建设工程规划许可证》[]、《出让合同》[]，估价对象规划建筑面积为68200平方米。</v>
      </c>
    </row>
    <row r="7" spans="1:4" ht="56.25">
      <c r="A7" s="1710" t="s">
        <v>2726</v>
      </c>
    </row>
    <row r="8" spans="1:4" ht="18.75">
      <c r="A8" s="1709" t="s">
        <v>1896</v>
      </c>
    </row>
    <row r="9" spans="1:4" ht="75">
      <c r="A9" s="1711" t="str">
        <f>IF(项目基本情况!B8="抵押",IF(项目基本情况!B5=项目基本情况!B6,定义!C51,定义!B51),定义!D51)</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2021年9月9日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根据《国有土地使用证》[]，估价对象（分摊）出让国有建设用地使用权面积为17997.97平方米。根据《建设工程规划许可证》[]、《出让合同》[]，估价对象规划建筑面积为68200平方米。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2月19日地下车库2071年2月19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X50" sqref="X5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3230</v>
      </c>
      <c r="D1" s="2797" t="s">
        <v>942</v>
      </c>
      <c r="E1" s="2242" t="s">
        <v>2358</v>
      </c>
      <c r="F1" s="2243">
        <f ca="1">J53</f>
        <v>39.47</v>
      </c>
      <c r="G1" s="3257">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33393</v>
      </c>
      <c r="C2" s="3262"/>
      <c r="D2" s="3263"/>
      <c r="E2" s="3264"/>
      <c r="F2" s="3264"/>
      <c r="G2" s="3258"/>
      <c r="H2" s="1940"/>
      <c r="I2" s="1940"/>
      <c r="J2" s="1940"/>
      <c r="K2" s="1941"/>
      <c r="L2" s="1940"/>
      <c r="M2" s="1940"/>
    </row>
    <row r="3" spans="1:33" ht="18" customHeight="1" thickBot="1">
      <c r="A3" s="822" t="s">
        <v>1717</v>
      </c>
      <c r="B3" s="823">
        <f ca="1">IF(ISERROR(B2*10000/F43),0,ROUND(B2*10000/F43,0))</f>
        <v>21406</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1719</v>
      </c>
      <c r="J4" s="768" t="s">
        <v>1724</v>
      </c>
      <c r="K4" s="768" t="s">
        <v>1725</v>
      </c>
      <c r="L4" s="769" t="s">
        <v>1726</v>
      </c>
      <c r="M4" s="770"/>
    </row>
    <row r="5" spans="1:33" ht="18" customHeight="1">
      <c r="A5" s="771">
        <v>1</v>
      </c>
      <c r="B5" s="772" t="s">
        <v>2438</v>
      </c>
      <c r="C5" s="55">
        <f ca="1">C6+C10+C12</f>
        <v>1539</v>
      </c>
      <c r="D5" s="2349" t="s">
        <v>2441</v>
      </c>
      <c r="E5" s="2343"/>
      <c r="F5" s="2344"/>
      <c r="G5" s="1945"/>
      <c r="H5" s="771">
        <v>1</v>
      </c>
      <c r="I5" s="772" t="s">
        <v>2438</v>
      </c>
      <c r="J5" s="55">
        <f ca="1">J6+J10+J12</f>
        <v>0</v>
      </c>
      <c r="K5" s="2349" t="s">
        <v>2441</v>
      </c>
      <c r="L5" s="2343"/>
      <c r="M5" s="2344"/>
    </row>
    <row r="6" spans="1:33" ht="18" customHeight="1">
      <c r="A6" s="1745" t="s">
        <v>1814</v>
      </c>
      <c r="B6" s="3558" t="s">
        <v>2443</v>
      </c>
      <c r="C6" s="773">
        <f ca="1">ROUND(F6*F8*F7*(1-F9)/10000,0)</f>
        <v>1537</v>
      </c>
      <c r="D6" s="2350" t="s">
        <v>2442</v>
      </c>
      <c r="E6" s="774" t="s">
        <v>1728</v>
      </c>
      <c r="F6" s="775">
        <f ca="1">INDIRECT("'数据-取费表'!u"&amp;$G$1)</f>
        <v>3</v>
      </c>
      <c r="G6" s="1945"/>
      <c r="H6" s="2357" t="s">
        <v>1814</v>
      </c>
      <c r="I6" s="3558" t="s">
        <v>2443</v>
      </c>
      <c r="J6" s="773">
        <f ca="1">ROUND(M6*M8*M7*(1-M9)/10000,0)</f>
        <v>0</v>
      </c>
      <c r="K6" s="339" t="s">
        <v>1727</v>
      </c>
      <c r="L6" s="774" t="s">
        <v>1728</v>
      </c>
      <c r="M6" s="775">
        <f ca="1">INDIRECT("'数据-取费表'!z"&amp;$G$1)</f>
        <v>0</v>
      </c>
    </row>
    <row r="7" spans="1:33" ht="18" customHeight="1">
      <c r="A7" s="2353"/>
      <c r="B7" s="3559"/>
      <c r="C7" s="778"/>
      <c r="D7" s="779"/>
      <c r="E7" s="774" t="s">
        <v>1729</v>
      </c>
      <c r="F7" s="775">
        <f ca="1">IF(INDIRECT("'数据-取费表'!ah"&amp;$G$1)="",INDIRECT("'数据-取费表'!k"&amp;$G$1),INDIRECT("'数据-取费表'!ah"&amp;$G$1))</f>
        <v>15600</v>
      </c>
      <c r="G7" s="1945"/>
      <c r="H7" s="2342"/>
      <c r="I7" s="3559"/>
      <c r="J7" s="778"/>
      <c r="K7" s="779"/>
      <c r="L7" s="774" t="s">
        <v>1729</v>
      </c>
      <c r="M7" s="775">
        <f ca="1">F7</f>
        <v>15600</v>
      </c>
    </row>
    <row r="8" spans="1:33" ht="18" customHeight="1">
      <c r="A8" s="2346"/>
      <c r="B8" s="3560"/>
      <c r="C8" s="778"/>
      <c r="D8" s="779"/>
      <c r="E8" s="774" t="s">
        <v>1730</v>
      </c>
      <c r="F8" s="775">
        <f ca="1">INDIRECT("'数据-取费表'!ai"&amp;$G$1)</f>
        <v>365</v>
      </c>
      <c r="G8" s="1945"/>
      <c r="H8" s="2342"/>
      <c r="I8" s="3560"/>
      <c r="J8" s="778"/>
      <c r="K8" s="779"/>
      <c r="L8" s="774" t="s">
        <v>1730</v>
      </c>
      <c r="M8" s="775">
        <f ca="1">INDIRECT("'数据-取费表'!ai"&amp;$G$1)</f>
        <v>365</v>
      </c>
    </row>
    <row r="9" spans="1:33" ht="18" customHeight="1">
      <c r="A9" s="776"/>
      <c r="B9" s="3561"/>
      <c r="C9" s="778"/>
      <c r="D9" s="779"/>
      <c r="E9" s="774" t="s">
        <v>1731</v>
      </c>
      <c r="F9" s="784">
        <f ca="1">INDIRECT("'数据-取费表'!w"&amp;$G$1)</f>
        <v>0.1</v>
      </c>
      <c r="G9" s="1945"/>
      <c r="H9" s="2358"/>
      <c r="I9" s="3560"/>
      <c r="J9" s="778"/>
      <c r="K9" s="779"/>
      <c r="L9" s="785" t="s">
        <v>1731</v>
      </c>
      <c r="M9" s="786">
        <f ca="1">INDIRECT("'数据-取费表'!ab"&amp;$G$1)</f>
        <v>0</v>
      </c>
    </row>
    <row r="10" spans="1:33" ht="18" customHeight="1">
      <c r="A10" s="1745" t="s">
        <v>1815</v>
      </c>
      <c r="B10" s="2347" t="s">
        <v>2439</v>
      </c>
      <c r="C10" s="789">
        <f ca="1">ROUND(IF(F10="押一",C6/12*F11,IF(F10="押二",C6/12*2*F11,IF(F10="押三",C6/12*3*F11,C11*F11))),0)</f>
        <v>2</v>
      </c>
      <c r="D10" s="2354" t="s">
        <v>2932</v>
      </c>
      <c r="E10" s="2351" t="s">
        <v>2444</v>
      </c>
      <c r="F10" s="2465" t="s">
        <v>3251</v>
      </c>
      <c r="G10" s="1945"/>
      <c r="H10" s="2414" t="s">
        <v>1815</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1732</v>
      </c>
      <c r="C13" s="782">
        <f ca="1">ROUND(C29*F13,0)</f>
        <v>7591</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1821</v>
      </c>
      <c r="B14" s="774" t="s">
        <v>638</v>
      </c>
      <c r="C14" s="794">
        <f ca="1">INDIRECT("'数据-取费表'!m"&amp;$G$1)+INDIRECT("'数据-取费表'!t"&amp;$G$1)</f>
        <v>5460</v>
      </c>
      <c r="D14" s="3286" t="s">
        <v>1735</v>
      </c>
      <c r="E14" s="3287"/>
      <c r="F14" s="795"/>
      <c r="G14" s="1945"/>
      <c r="H14" s="1577" t="s">
        <v>1814</v>
      </c>
      <c r="I14" s="2111" t="s">
        <v>2803</v>
      </c>
      <c r="J14" s="53">
        <f ca="1">C29</f>
        <v>7591</v>
      </c>
      <c r="K14" s="26"/>
      <c r="L14" s="791"/>
      <c r="M14" s="792"/>
    </row>
    <row r="15" spans="1:33" s="1947" customFormat="1" ht="18" customHeight="1" thickBot="1">
      <c r="A15" s="1576" t="s">
        <v>1822</v>
      </c>
      <c r="B15" s="774" t="s">
        <v>640</v>
      </c>
      <c r="C15" s="53">
        <f ca="1">ROUND(C14*F15,0)</f>
        <v>164</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738</v>
      </c>
      <c r="K16" s="1736" t="s">
        <v>1740</v>
      </c>
      <c r="L16" s="3288"/>
      <c r="M16" s="2344"/>
    </row>
    <row r="17" spans="1:33" s="1947" customFormat="1" ht="18" customHeight="1">
      <c r="A17" s="1576" t="s">
        <v>1877</v>
      </c>
      <c r="B17" s="774" t="s">
        <v>646</v>
      </c>
      <c r="C17" s="53">
        <f ca="1">ROUND(F17*(F43+INDIRECT("'数据-取费表'!S"&amp;$G$1))/10000,0)</f>
        <v>312</v>
      </c>
      <c r="D17" s="774" t="s">
        <v>1741</v>
      </c>
      <c r="E17" s="774" t="s">
        <v>1742</v>
      </c>
      <c r="F17" s="56">
        <f>'数据-取费表'!B35</f>
        <v>200</v>
      </c>
      <c r="G17" s="3259"/>
      <c r="H17" s="1577" t="s">
        <v>1814</v>
      </c>
      <c r="I17" s="774" t="s">
        <v>649</v>
      </c>
      <c r="J17" s="3018">
        <f ca="1">ROUND(IF(AND(项目基本情况!B11="自然人",项目基本情况!B10="北京市"),J6*M17/(1+'数据-取费表'!C42),J18+J19+J20),0)</f>
        <v>639</v>
      </c>
      <c r="K17" s="3286" t="s">
        <v>1743</v>
      </c>
      <c r="L17" s="3285"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82</v>
      </c>
      <c r="D18" s="774" t="s">
        <v>1736</v>
      </c>
      <c r="E18" s="774" t="s">
        <v>1737</v>
      </c>
      <c r="F18" s="799">
        <f>'数据-取费表'!B36</f>
        <v>1.4999999999999999E-2</v>
      </c>
      <c r="G18" s="3259"/>
      <c r="H18" s="1576" t="s">
        <v>1821</v>
      </c>
      <c r="I18" s="774" t="s">
        <v>1745</v>
      </c>
      <c r="J18" s="53">
        <f ca="1">ROUND(J6*M18/(1+'数据-取费表'!C42),1)</f>
        <v>0</v>
      </c>
      <c r="K18" s="3285"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6018</v>
      </c>
      <c r="D19" s="259" t="s">
        <v>1747</v>
      </c>
      <c r="E19" s="3290"/>
      <c r="F19" s="56"/>
      <c r="G19" s="1945"/>
      <c r="H19" s="1576" t="s">
        <v>1822</v>
      </c>
      <c r="I19" s="774" t="s">
        <v>1748</v>
      </c>
      <c r="J19" s="53">
        <f ca="1">IF(K19="按租金收入计税",ROUND(J6*M19/(1+'数据-取费表'!C42),1),ROUND(C29*F33*0.7,1))</f>
        <v>637.6</v>
      </c>
      <c r="K19" s="800" t="s">
        <v>658</v>
      </c>
      <c r="L19" s="774" t="s">
        <v>1737</v>
      </c>
      <c r="M19" s="799">
        <f>IF(K19="按租金收入计税",'数据-取费表'!B51,'数据-取费表'!B50)</f>
        <v>1.2E-2</v>
      </c>
    </row>
    <row r="20" spans="1:33" s="1947" customFormat="1" ht="18" customHeight="1">
      <c r="A20" s="1577" t="s">
        <v>1879</v>
      </c>
      <c r="B20" s="774" t="s">
        <v>659</v>
      </c>
      <c r="C20" s="53">
        <f ca="1">ROUND(C19*F20,0)</f>
        <v>120</v>
      </c>
      <c r="D20" s="801" t="s">
        <v>1749</v>
      </c>
      <c r="E20" s="774" t="s">
        <v>1737</v>
      </c>
      <c r="F20" s="799">
        <f>'数据-取费表'!B37</f>
        <v>0.02</v>
      </c>
      <c r="G20" s="3259"/>
      <c r="H20" s="1579" t="s">
        <v>1823</v>
      </c>
      <c r="I20" s="339" t="s">
        <v>1750</v>
      </c>
      <c r="J20" s="54">
        <f ca="1">ROUND(M20*M21/10000,0)</f>
        <v>1</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4116.84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3290"/>
      <c r="F22" s="56"/>
      <c r="G22" s="1945"/>
      <c r="H22" s="1577" t="s">
        <v>1879</v>
      </c>
      <c r="I22" s="774" t="s">
        <v>1758</v>
      </c>
      <c r="J22" s="53">
        <f ca="1">ROUND(J14*M22,0)</f>
        <v>99</v>
      </c>
      <c r="K22" s="3285" t="s">
        <v>1759</v>
      </c>
      <c r="L22" s="774" t="s">
        <v>1737</v>
      </c>
      <c r="M22" s="806">
        <f ca="1">INDIRECT("'数据-取费表'!Ak"&amp;$G$1)</f>
        <v>1.2999999999999999E-2</v>
      </c>
    </row>
    <row r="23" spans="1:33" s="1947" customFormat="1" ht="18" customHeight="1">
      <c r="A23" s="1576" t="s">
        <v>1821</v>
      </c>
      <c r="B23" s="774" t="s">
        <v>2420</v>
      </c>
      <c r="C23" s="53">
        <f ca="1">ROUND(IF('数据-取费表'!B22&lt;=1,(C19+C20)*F24*F23/2,(C19+C20)*(POWER((1+F24),F23/2)-1)),0)</f>
        <v>267</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3285"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3290"/>
      <c r="F25" s="56"/>
      <c r="G25" s="1945"/>
      <c r="H25" s="1744" t="s">
        <v>1766</v>
      </c>
      <c r="I25" s="2722" t="s">
        <v>2800</v>
      </c>
      <c r="J25" s="782">
        <f ca="1">J5-J16</f>
        <v>-738</v>
      </c>
      <c r="K25" s="2401" t="s">
        <v>1767</v>
      </c>
      <c r="L25" s="2402"/>
      <c r="M25" s="2403"/>
    </row>
    <row r="26" spans="1:33" ht="18" customHeight="1">
      <c r="A26" s="1576" t="s">
        <v>1821</v>
      </c>
      <c r="B26" s="774" t="s">
        <v>2421</v>
      </c>
      <c r="C26" s="53">
        <f ca="1">ROUND((C19+C20)*F26,0)</f>
        <v>614</v>
      </c>
      <c r="D26" s="801" t="s">
        <v>1768</v>
      </c>
      <c r="E26" s="785" t="s">
        <v>1769</v>
      </c>
      <c r="F26" s="784">
        <f ca="1">INDIRECT("'数据-取费表'!q"&amp;$G$1)</f>
        <v>0.1</v>
      </c>
      <c r="G26" s="1945"/>
      <c r="H26" s="2355" t="s">
        <v>1770</v>
      </c>
      <c r="I26" s="2112" t="s">
        <v>2805</v>
      </c>
      <c r="J26" s="773">
        <f ca="1">IF(J5&lt;&gt;0,ROUND(J25*(1-((1+M28)/(1+M26))^M27)/(M26-M28),0),0)</f>
        <v>0</v>
      </c>
      <c r="K26" s="803" t="s">
        <v>1771</v>
      </c>
      <c r="L26" s="774" t="s">
        <v>2403</v>
      </c>
      <c r="M26" s="784">
        <f ca="1">INDIRECT("'数据-取费表'!I"&amp;$G$1)</f>
        <v>0.05</v>
      </c>
    </row>
    <row r="27" spans="1:33" ht="18" customHeight="1">
      <c r="A27" s="1576" t="s">
        <v>1822</v>
      </c>
      <c r="B27" s="774" t="s">
        <v>679</v>
      </c>
      <c r="C27" s="53">
        <f ca="1">ROUND(F21*F26,4)</f>
        <v>2E-3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7591</v>
      </c>
      <c r="D29" s="2398"/>
      <c r="E29" s="2399"/>
      <c r="F29" s="2400"/>
      <c r="G29" s="3259"/>
      <c r="H29" s="812" t="s">
        <v>1777</v>
      </c>
      <c r="I29" s="813" t="s">
        <v>1778</v>
      </c>
      <c r="J29" s="814">
        <f ca="1">ROUND(J26/(1+F40)^F41,0)</f>
        <v>0</v>
      </c>
      <c r="K29" s="815" t="s">
        <v>1779</v>
      </c>
      <c r="L29" s="816"/>
      <c r="M29" s="817">
        <f ca="1">INDIRECT("'数据-取费表'!k"&amp;$G$1)</f>
        <v>15600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1739</v>
      </c>
      <c r="C30" s="782">
        <f ca="1">ROUND(C31+C36+C37+C38,0)</f>
        <v>383</v>
      </c>
      <c r="D30" s="1736" t="s">
        <v>1740</v>
      </c>
      <c r="E30" s="3288"/>
      <c r="F30" s="2344"/>
      <c r="G30" s="1945"/>
      <c r="H30" s="1948"/>
      <c r="I30" s="1949"/>
      <c r="J30" s="1950"/>
      <c r="K30" s="1951"/>
      <c r="L30" s="1952"/>
      <c r="M30" s="1953"/>
    </row>
    <row r="31" spans="1:33" ht="18" customHeight="1">
      <c r="A31" s="1577" t="s">
        <v>1814</v>
      </c>
      <c r="B31" s="774" t="s">
        <v>649</v>
      </c>
      <c r="C31" s="3018">
        <f ca="1">ROUND(IF(AND(项目基本情况!B11="自然人",项目基本情况!B10="北京市"),C6*F31/(1+'数据-取费表'!C42),C32+C33+C34),0)</f>
        <v>257</v>
      </c>
      <c r="D31" s="3286" t="s">
        <v>1743</v>
      </c>
      <c r="E31" s="3285" t="s">
        <v>1783</v>
      </c>
      <c r="F31" s="3017">
        <f ca="1">IF(项目基本情况!B11="企业","——",IF('数据-取费表'!B10="住宅",IF(F6*F7*F8/12/(1+'数据-取费表'!F30)&gt;100000,4%,2.5%),IF(F6*F7*F8/12/(1+'数据-取费表'!F30)&gt;100000,12%,7%)))</f>
        <v>0.12</v>
      </c>
      <c r="G31" s="1945"/>
      <c r="H31" s="3256" t="s">
        <v>2989</v>
      </c>
      <c r="I31" s="1949"/>
      <c r="J31" s="1950"/>
      <c r="K31" s="1951"/>
      <c r="L31" s="1952"/>
      <c r="M31" s="1953"/>
    </row>
    <row r="32" spans="1:33" ht="18" customHeight="1">
      <c r="A32" s="1576" t="s">
        <v>1821</v>
      </c>
      <c r="B32" s="774" t="s">
        <v>1745</v>
      </c>
      <c r="C32" s="53">
        <f ca="1">ROUND(C6*F32/(1+'数据-取费表'!C42),1)</f>
        <v>80.5</v>
      </c>
      <c r="D32" s="3285" t="s">
        <v>1746</v>
      </c>
      <c r="E32" s="774" t="s">
        <v>1775</v>
      </c>
      <c r="F32" s="799">
        <f>'数据-取费表'!B41</f>
        <v>5.5000000000000007E-2</v>
      </c>
      <c r="G32" s="1945"/>
      <c r="H32" s="1954"/>
      <c r="I32" s="1955"/>
      <c r="J32" s="1956"/>
      <c r="K32" s="1957"/>
      <c r="L32" s="1958"/>
      <c r="M32" s="1959"/>
    </row>
    <row r="33" spans="1:18" ht="18" customHeight="1">
      <c r="A33" s="1576" t="s">
        <v>1822</v>
      </c>
      <c r="B33" s="774" t="s">
        <v>1748</v>
      </c>
      <c r="C33" s="53">
        <f ca="1">IF(D33="按租金收入计税",ROUND(C6*F33/(1+'数据-取费表'!C42),1),IF(D33="按房产原值计税",ROUND(C29*F33*0.7,1),INDIRECT("'数据-取费表'!Aj"&amp;$G$1)))</f>
        <v>175.7</v>
      </c>
      <c r="D33" s="800" t="s">
        <v>3252</v>
      </c>
      <c r="E33" s="774" t="s">
        <v>1775</v>
      </c>
      <c r="F33" s="799">
        <f>IF(D33="按租金收入计税",'数据-取费表'!B51,'数据-取费表'!B50)</f>
        <v>0.12</v>
      </c>
      <c r="G33" s="1945"/>
      <c r="H33" s="1960"/>
      <c r="I33" s="1960"/>
      <c r="J33" s="1960"/>
      <c r="K33" s="1961"/>
      <c r="L33" s="1960"/>
      <c r="M33" s="1960"/>
    </row>
    <row r="34" spans="1:18" ht="18" customHeight="1">
      <c r="A34" s="1579" t="s">
        <v>1823</v>
      </c>
      <c r="B34" s="339" t="s">
        <v>1750</v>
      </c>
      <c r="C34" s="54">
        <f ca="1">ROUND(F34*F35/10000,1)</f>
        <v>1.2</v>
      </c>
      <c r="D34" s="803" t="s">
        <v>1751</v>
      </c>
      <c r="E34" s="774" t="s">
        <v>1752</v>
      </c>
      <c r="F34" s="632">
        <f>'数据-取费表'!B52</f>
        <v>3</v>
      </c>
      <c r="G34" s="1945"/>
      <c r="H34" s="1948"/>
      <c r="I34" s="824" t="s">
        <v>1803</v>
      </c>
      <c r="J34" s="825"/>
      <c r="K34" s="1963"/>
      <c r="L34" s="1962"/>
      <c r="M34" s="1962"/>
    </row>
    <row r="35" spans="1:18" ht="18" customHeight="1">
      <c r="A35" s="804"/>
      <c r="B35" s="783"/>
      <c r="C35" s="69"/>
      <c r="D35" s="805"/>
      <c r="E35" s="774" t="s">
        <v>1756</v>
      </c>
      <c r="F35" s="775">
        <f ca="1">INDIRECT("'数据-取费表'!r"&amp;$G$1)</f>
        <v>4116.84</v>
      </c>
      <c r="G35" s="1945"/>
      <c r="H35" s="1948"/>
      <c r="I35" s="826" t="s">
        <v>1804</v>
      </c>
      <c r="J35" s="827">
        <f ca="1">ROUND(C13*J36,0)</f>
        <v>645</v>
      </c>
      <c r="K35" s="1961"/>
      <c r="L35" s="1960"/>
      <c r="M35" s="1960"/>
    </row>
    <row r="36" spans="1:18" ht="18" customHeight="1">
      <c r="A36" s="1577" t="s">
        <v>1879</v>
      </c>
      <c r="B36" s="774" t="s">
        <v>1758</v>
      </c>
      <c r="C36" s="53">
        <f ca="1">ROUND(C29*F36,1)</f>
        <v>98.7</v>
      </c>
      <c r="D36" s="3285" t="s">
        <v>1793</v>
      </c>
      <c r="E36" s="774" t="s">
        <v>1775</v>
      </c>
      <c r="F36" s="806">
        <f ca="1">INDIRECT("'数据-取费表'!Ak"&amp;$G$1)</f>
        <v>1.2999999999999999E-2</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11.4</v>
      </c>
      <c r="D37" s="3285" t="s">
        <v>1761</v>
      </c>
      <c r="E37" s="774" t="s">
        <v>1775</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15.4</v>
      </c>
      <c r="D38" s="2398" t="s">
        <v>1764</v>
      </c>
      <c r="E38" s="2399" t="s">
        <v>1775</v>
      </c>
      <c r="F38" s="2395">
        <f ca="1">INDIRECT("'数据-取费表'!Am"&amp;$G$1)</f>
        <v>0.01</v>
      </c>
      <c r="G38" s="1945"/>
      <c r="H38" s="1960"/>
      <c r="I38" s="832" t="s">
        <v>1807</v>
      </c>
      <c r="J38" s="833"/>
      <c r="K38" s="1965"/>
      <c r="L38" s="1960"/>
      <c r="M38" s="1960"/>
    </row>
    <row r="39" spans="1:18" ht="24.6" customHeight="1" thickTop="1">
      <c r="A39" s="1744" t="s">
        <v>1766</v>
      </c>
      <c r="B39" s="2722" t="s">
        <v>2800</v>
      </c>
      <c r="C39" s="782">
        <f ca="1">C5-C30</f>
        <v>1156</v>
      </c>
      <c r="D39" s="2401" t="s">
        <v>1767</v>
      </c>
      <c r="E39" s="2402"/>
      <c r="F39" s="2403"/>
      <c r="G39" s="1945"/>
      <c r="H39" s="1960"/>
      <c r="I39" s="826" t="s">
        <v>1808</v>
      </c>
      <c r="J39" s="834">
        <f ca="1">ROUND(J35/C39,3)</f>
        <v>0.55800000000000005</v>
      </c>
      <c r="K39" s="1965"/>
      <c r="L39" s="1960"/>
      <c r="M39" s="1960"/>
    </row>
    <row r="40" spans="1:18" ht="18" customHeight="1">
      <c r="A40" s="771" t="s">
        <v>1770</v>
      </c>
      <c r="B40" s="2112" t="s">
        <v>2288</v>
      </c>
      <c r="C40" s="773">
        <f ca="1">ROUND(C39*(1-((1+F42)/(1+F40))^F41)/(F40-F42),0)</f>
        <v>33393</v>
      </c>
      <c r="D40" s="803" t="s">
        <v>1771</v>
      </c>
      <c r="E40" s="774" t="s">
        <v>2403</v>
      </c>
      <c r="F40" s="784">
        <f ca="1">INDIRECT("'数据-取费表'!I"&amp;$G$1)</f>
        <v>0.05</v>
      </c>
      <c r="G40" s="1945"/>
      <c r="H40" s="1945"/>
      <c r="I40" s="826" t="s">
        <v>1809</v>
      </c>
      <c r="J40" s="834">
        <f ca="1">1-J39</f>
        <v>0.44199999999999995</v>
      </c>
      <c r="K40" s="1965"/>
      <c r="L40" s="1945"/>
      <c r="M40" s="1945"/>
    </row>
    <row r="41" spans="1:18" ht="18" customHeight="1">
      <c r="A41" s="776"/>
      <c r="B41" s="777"/>
      <c r="C41" s="778"/>
      <c r="D41" s="810" t="s">
        <v>1798</v>
      </c>
      <c r="E41" s="774" t="s">
        <v>1774</v>
      </c>
      <c r="F41" s="811">
        <f ca="1">IF(INDIRECT("'数据-取费表'!af"&amp;$G$1)=0,INDIRECT("'数据-取费表'!ae"&amp;$G$1),INDIRECT("'数据-取费表'!af"&amp;$G$1))</f>
        <v>39.47</v>
      </c>
      <c r="G41" s="1945"/>
      <c r="H41" s="1900"/>
      <c r="I41" s="832" t="s">
        <v>1810</v>
      </c>
      <c r="J41" s="835"/>
      <c r="K41" s="1964"/>
      <c r="L41" s="1900"/>
      <c r="M41" s="1900"/>
    </row>
    <row r="42" spans="1:18" ht="18" customHeight="1">
      <c r="A42" s="780"/>
      <c r="B42" s="781"/>
      <c r="C42" s="782"/>
      <c r="D42" s="805"/>
      <c r="E42" s="774" t="s">
        <v>1776</v>
      </c>
      <c r="F42" s="784">
        <f ca="1">INDIRECT("'数据-取费表'!v"&amp;$G$1)</f>
        <v>3.5000000000000003E-2</v>
      </c>
      <c r="G42" s="1945"/>
      <c r="H42" s="1900"/>
      <c r="I42" s="836" t="s">
        <v>1811</v>
      </c>
      <c r="J42" s="834">
        <f ca="1">ROUND(C13/C40,3)</f>
        <v>0.22700000000000001</v>
      </c>
      <c r="K42" s="1964"/>
      <c r="L42" s="1900"/>
      <c r="M42" s="1900"/>
    </row>
    <row r="43" spans="1:18" ht="18" customHeight="1" thickBot="1">
      <c r="A43" s="812" t="s">
        <v>1777</v>
      </c>
      <c r="B43" s="813" t="s">
        <v>1800</v>
      </c>
      <c r="C43" s="814">
        <f ca="1">ROUND(C40*10000/F43,0)</f>
        <v>21406</v>
      </c>
      <c r="D43" s="815" t="s">
        <v>1801</v>
      </c>
      <c r="E43" s="816" t="s">
        <v>1802</v>
      </c>
      <c r="F43" s="817">
        <f ca="1">INDIRECT("'数据-取费表'!k"&amp;$G$1)</f>
        <v>15600</v>
      </c>
      <c r="G43" s="1945"/>
      <c r="H43" s="1900"/>
      <c r="I43" s="836" t="s">
        <v>1812</v>
      </c>
      <c r="J43" s="837">
        <f ca="1">1-J42</f>
        <v>0.77300000000000002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-35289</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8" t="s">
        <v>2329</v>
      </c>
      <c r="J48" s="2237" t="s">
        <v>2334</v>
      </c>
      <c r="K48" s="2808" t="s">
        <v>2335</v>
      </c>
      <c r="L48" s="1822">
        <f ca="1">INDIRECT("'数据-取费表'!f"&amp;$G$1)</f>
        <v>39.47</v>
      </c>
      <c r="M48" s="3261"/>
      <c r="O48" s="2253" t="s">
        <v>2363</v>
      </c>
      <c r="P48" s="2254" t="s">
        <v>2389</v>
      </c>
      <c r="Q48" s="2255">
        <f ca="1">C40+J29</f>
        <v>33393</v>
      </c>
      <c r="R48" s="2254" t="s">
        <v>2364</v>
      </c>
    </row>
    <row r="49" spans="1:18" s="1942" customFormat="1" ht="18" customHeight="1" thickBot="1">
      <c r="A49" s="776"/>
      <c r="B49" s="777"/>
      <c r="C49" s="778"/>
      <c r="D49" s="779"/>
      <c r="E49" s="774" t="s">
        <v>1729</v>
      </c>
      <c r="F49" s="775">
        <f ca="1">F7</f>
        <v>15600</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8" t="s">
        <v>2331</v>
      </c>
      <c r="J50" s="2805">
        <f>SUMPRODUCT((I63:I65=J47)*(J62:L62=J48)*(J63:L65))</f>
        <v>60</v>
      </c>
      <c r="K50" s="2809" t="s">
        <v>2337</v>
      </c>
      <c r="L50" s="2239"/>
      <c r="M50" s="3261"/>
      <c r="O50" s="2256" t="s">
        <v>2367</v>
      </c>
      <c r="P50" s="2254" t="s">
        <v>2391</v>
      </c>
      <c r="Q50" s="2255">
        <f ca="1">C29</f>
        <v>7591</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10541</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2932</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39.47</v>
      </c>
      <c r="K53" s="3564" t="s">
        <v>2925</v>
      </c>
      <c r="L53" s="3565"/>
      <c r="M53" s="3261"/>
      <c r="O53" s="2256" t="s">
        <v>2372</v>
      </c>
      <c r="P53" s="2254" t="s">
        <v>2373</v>
      </c>
      <c r="Q53" s="2255">
        <f ca="1">J53</f>
        <v>39.47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33393</v>
      </c>
      <c r="R54" s="2258" t="s">
        <v>2376</v>
      </c>
    </row>
    <row r="55" spans="1:18" s="1942" customFormat="1" ht="18" customHeight="1" thickTop="1" thickBot="1">
      <c r="A55" s="787">
        <v>2</v>
      </c>
      <c r="B55" s="788" t="s">
        <v>637</v>
      </c>
      <c r="C55" s="789">
        <f ca="1">C13</f>
        <v>7591</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2287</v>
      </c>
      <c r="C56" s="53">
        <f ca="1">C29</f>
        <v>7591</v>
      </c>
      <c r="D56" s="3285"/>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111</v>
      </c>
      <c r="D57" s="26" t="s">
        <v>1740</v>
      </c>
      <c r="E57" s="3290"/>
      <c r="F57" s="56"/>
      <c r="I57" s="2818" t="s">
        <v>2342</v>
      </c>
      <c r="J57" s="2819" t="str">
        <f ca="1">IF(OR(M47="住宅",J51&lt;L48,J56="是"),"——",J51-L48)</f>
        <v>——</v>
      </c>
      <c r="K57" s="2798" t="s">
        <v>2347</v>
      </c>
      <c r="L57" s="1822" t="str">
        <f ca="1">IF(L48&lt;J51,"——",IF(L55="比较法",L49,IF(L55="基准地价",L50,L51)))</f>
        <v>——</v>
      </c>
      <c r="M57" s="3261"/>
      <c r="O57" s="2253" t="s">
        <v>2363</v>
      </c>
      <c r="P57" s="2254" t="s">
        <v>2389</v>
      </c>
      <c r="Q57" s="2255">
        <f ca="1">C40+J29</f>
        <v>33393</v>
      </c>
      <c r="R57" s="2254" t="s">
        <v>2364</v>
      </c>
    </row>
    <row r="58" spans="1:18" s="1942" customFormat="1" ht="28.5" customHeight="1" thickBot="1">
      <c r="A58" s="1577" t="s">
        <v>1814</v>
      </c>
      <c r="B58" s="774" t="s">
        <v>649</v>
      </c>
      <c r="C58" s="3018">
        <f ca="1">ROUND(IF(AND(项目基本情况!B11="自然人",项目基本情况!B10="北京市"),C48*F58/(1+'数据-取费表'!C42),C59+C60+C61),0)</f>
        <v>1</v>
      </c>
      <c r="D58" s="3286" t="s">
        <v>650</v>
      </c>
      <c r="E58" s="3285"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3285"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3285"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1.2</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4116.84</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98.7</v>
      </c>
      <c r="D63" s="3285" t="s">
        <v>1793</v>
      </c>
      <c r="E63" s="774" t="s">
        <v>1737</v>
      </c>
      <c r="F63" s="806">
        <f t="shared" ca="1" si="0"/>
        <v>1.2999999999999999E-2</v>
      </c>
      <c r="I63" s="2823" t="s">
        <v>2354</v>
      </c>
      <c r="J63" s="2824">
        <v>70</v>
      </c>
      <c r="K63" s="2824">
        <v>50</v>
      </c>
      <c r="L63" s="2824">
        <v>80</v>
      </c>
      <c r="M63" s="2826">
        <v>0.02</v>
      </c>
      <c r="O63" s="2253" t="s">
        <v>2375</v>
      </c>
      <c r="P63" s="2254" t="s">
        <v>2392</v>
      </c>
      <c r="Q63" s="2255">
        <f ca="1">Q57+Q58</f>
        <v>33393</v>
      </c>
      <c r="R63" s="2258" t="s">
        <v>2376</v>
      </c>
    </row>
    <row r="64" spans="1:18" s="1942" customFormat="1" ht="16.5" thickBot="1">
      <c r="A64" s="1577" t="s">
        <v>1880</v>
      </c>
      <c r="B64" s="774" t="s">
        <v>672</v>
      </c>
      <c r="C64" s="53">
        <f ca="1">ROUND(C55*F64,1)</f>
        <v>11.4</v>
      </c>
      <c r="D64" s="3285"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3285"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-111</v>
      </c>
      <c r="D66" s="3286" t="s">
        <v>693</v>
      </c>
      <c r="E66" s="3289"/>
      <c r="F66" s="809"/>
      <c r="K66" s="1968"/>
      <c r="O66" s="2253" t="s">
        <v>2363</v>
      </c>
      <c r="P66" s="2254" t="s">
        <v>2389</v>
      </c>
      <c r="Q66" s="2255">
        <f ca="1">C40+J29</f>
        <v>33393</v>
      </c>
      <c r="R66" s="2254" t="s">
        <v>2364</v>
      </c>
    </row>
    <row r="67" spans="1:18" s="1942" customFormat="1" ht="20.25" thickBot="1">
      <c r="A67" s="771" t="s">
        <v>1770</v>
      </c>
      <c r="B67" s="2112" t="s">
        <v>2288</v>
      </c>
      <c r="C67" s="773">
        <f ca="1">ROUND(C66*(1-((1+F69)/(1+F67))^F68)/(F67-F69),0)</f>
        <v>-1896</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 ca="1">F41</f>
        <v>39.47</v>
      </c>
      <c r="O68" s="2256" t="s">
        <v>2367</v>
      </c>
      <c r="P68" s="2254" t="s">
        <v>2397</v>
      </c>
      <c r="Q68" s="2260">
        <f ca="1">L51</f>
        <v>10541</v>
      </c>
      <c r="R68" s="2261" t="s">
        <v>2400</v>
      </c>
    </row>
    <row r="69" spans="1:18" ht="20.25" thickBot="1">
      <c r="A69" s="780"/>
      <c r="B69" s="781"/>
      <c r="C69" s="782"/>
      <c r="D69" s="805"/>
      <c r="E69" s="774" t="s">
        <v>703</v>
      </c>
      <c r="F69" s="2226"/>
      <c r="O69" s="2256" t="s">
        <v>2368</v>
      </c>
      <c r="P69" s="2262" t="s">
        <v>2382</v>
      </c>
      <c r="Q69" s="2255">
        <f ca="1">ROUND(Q70-Q71*Q72,0)</f>
        <v>511</v>
      </c>
      <c r="R69" s="2258"/>
    </row>
    <row r="70" spans="1:18" ht="15.75" thickBot="1">
      <c r="A70" s="812" t="s">
        <v>1777</v>
      </c>
      <c r="B70" s="813" t="s">
        <v>1800</v>
      </c>
      <c r="C70" s="814">
        <f ca="1">ROUND(C67*10000/F70,0)</f>
        <v>-1215</v>
      </c>
      <c r="D70" s="815" t="s">
        <v>1801</v>
      </c>
      <c r="E70" s="816" t="s">
        <v>1802</v>
      </c>
      <c r="F70" s="817">
        <f ca="1">F43</f>
        <v>15600</v>
      </c>
      <c r="O70" s="2256" t="s">
        <v>2383</v>
      </c>
      <c r="P70" s="2262" t="s">
        <v>2384</v>
      </c>
      <c r="Q70" s="2255">
        <f ca="1">C39</f>
        <v>1156</v>
      </c>
      <c r="R70" s="2254" t="s">
        <v>2364</v>
      </c>
    </row>
    <row r="71" spans="1:18" ht="15.75" thickBot="1">
      <c r="O71" s="2256" t="s">
        <v>2385</v>
      </c>
      <c r="P71" s="2262" t="s">
        <v>2386</v>
      </c>
      <c r="Q71" s="2255">
        <f ca="1">C13</f>
        <v>7591</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33393</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X50" sqref="X5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3234</v>
      </c>
      <c r="D1" s="2797" t="s">
        <v>942</v>
      </c>
      <c r="E1" s="2242" t="s">
        <v>2358</v>
      </c>
      <c r="F1" s="2243">
        <f ca="1">J53</f>
        <v>39.47</v>
      </c>
      <c r="G1" s="3257">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30071</v>
      </c>
      <c r="C2" s="3262"/>
      <c r="D2" s="3263"/>
      <c r="E2" s="3264"/>
      <c r="F2" s="3264"/>
      <c r="G2" s="3258"/>
      <c r="H2" s="1940"/>
      <c r="I2" s="1940"/>
      <c r="J2" s="1940"/>
      <c r="K2" s="1941"/>
      <c r="L2" s="1940"/>
      <c r="M2" s="1940"/>
    </row>
    <row r="3" spans="1:33" ht="18" customHeight="1" thickBot="1">
      <c r="A3" s="822" t="s">
        <v>1717</v>
      </c>
      <c r="B3" s="823">
        <f ca="1">IF(ISERROR(B2*10000/F43),0,ROUND(B2*10000/F43,0))</f>
        <v>22275</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1719</v>
      </c>
      <c r="J4" s="768" t="s">
        <v>1724</v>
      </c>
      <c r="K4" s="768" t="s">
        <v>1725</v>
      </c>
      <c r="L4" s="769" t="s">
        <v>1726</v>
      </c>
      <c r="M4" s="770"/>
    </row>
    <row r="5" spans="1:33" ht="18" customHeight="1">
      <c r="A5" s="771">
        <v>1</v>
      </c>
      <c r="B5" s="772" t="s">
        <v>2438</v>
      </c>
      <c r="C5" s="55">
        <f ca="1">C6+C10+C12</f>
        <v>1533</v>
      </c>
      <c r="D5" s="2349" t="s">
        <v>2441</v>
      </c>
      <c r="E5" s="2343"/>
      <c r="F5" s="2344"/>
      <c r="G5" s="1945"/>
      <c r="H5" s="771">
        <v>1</v>
      </c>
      <c r="I5" s="772" t="s">
        <v>2438</v>
      </c>
      <c r="J5" s="55">
        <f ca="1">J6+J10+J12</f>
        <v>0</v>
      </c>
      <c r="K5" s="2349" t="s">
        <v>2441</v>
      </c>
      <c r="L5" s="2343"/>
      <c r="M5" s="2344"/>
    </row>
    <row r="6" spans="1:33" ht="18" customHeight="1">
      <c r="A6" s="1745" t="s">
        <v>1814</v>
      </c>
      <c r="B6" s="3558" t="s">
        <v>2443</v>
      </c>
      <c r="C6" s="773">
        <f ca="1">ROUND(F6*F8*F7*(1-F9)/10000,0)</f>
        <v>1533</v>
      </c>
      <c r="D6" s="2350" t="s">
        <v>2442</v>
      </c>
      <c r="E6" s="774" t="s">
        <v>1728</v>
      </c>
      <c r="F6" s="775">
        <f ca="1">INDIRECT("'数据-取费表'!u"&amp;$G$1)</f>
        <v>15330000</v>
      </c>
      <c r="G6" s="1945"/>
      <c r="H6" s="2357" t="s">
        <v>1814</v>
      </c>
      <c r="I6" s="3558" t="s">
        <v>2443</v>
      </c>
      <c r="J6" s="773">
        <f ca="1">ROUND(M6*M8*M7*(1-M9)/10000,0)</f>
        <v>0</v>
      </c>
      <c r="K6" s="339" t="s">
        <v>1727</v>
      </c>
      <c r="L6" s="774" t="s">
        <v>1728</v>
      </c>
      <c r="M6" s="775">
        <f ca="1">INDIRECT("'数据-取费表'!z"&amp;$G$1)</f>
        <v>0</v>
      </c>
    </row>
    <row r="7" spans="1:33" ht="18" customHeight="1">
      <c r="A7" s="2353"/>
      <c r="B7" s="3559"/>
      <c r="C7" s="778"/>
      <c r="D7" s="779"/>
      <c r="E7" s="774" t="s">
        <v>1729</v>
      </c>
      <c r="F7" s="775">
        <f ca="1">IF(INDIRECT("'数据-取费表'!ah"&amp;$G$1)="",INDIRECT("'数据-取费表'!k"&amp;$G$1),INDIRECT("'数据-取费表'!ah"&amp;$G$1))</f>
        <v>1</v>
      </c>
      <c r="G7" s="1945"/>
      <c r="H7" s="2342"/>
      <c r="I7" s="3559"/>
      <c r="J7" s="778"/>
      <c r="K7" s="779"/>
      <c r="L7" s="774" t="s">
        <v>1729</v>
      </c>
      <c r="M7" s="775">
        <f ca="1">F7</f>
        <v>1</v>
      </c>
    </row>
    <row r="8" spans="1:33" ht="18" customHeight="1">
      <c r="A8" s="2346"/>
      <c r="B8" s="3560"/>
      <c r="C8" s="778"/>
      <c r="D8" s="779"/>
      <c r="E8" s="774" t="s">
        <v>1730</v>
      </c>
      <c r="F8" s="775">
        <f ca="1">INDIRECT("'数据-取费表'!ai"&amp;$G$1)</f>
        <v>1</v>
      </c>
      <c r="G8" s="1945"/>
      <c r="H8" s="2342"/>
      <c r="I8" s="3560"/>
      <c r="J8" s="778"/>
      <c r="K8" s="779"/>
      <c r="L8" s="774" t="s">
        <v>1730</v>
      </c>
      <c r="M8" s="775">
        <f ca="1">INDIRECT("'数据-取费表'!ai"&amp;$G$1)</f>
        <v>1</v>
      </c>
    </row>
    <row r="9" spans="1:33" ht="18" customHeight="1">
      <c r="A9" s="776"/>
      <c r="B9" s="3561"/>
      <c r="C9" s="778"/>
      <c r="D9" s="779"/>
      <c r="E9" s="774" t="s">
        <v>1731</v>
      </c>
      <c r="F9" s="784">
        <f ca="1">INDIRECT("'数据-取费表'!w"&amp;$G$1)</f>
        <v>0</v>
      </c>
      <c r="G9" s="1945"/>
      <c r="H9" s="2358"/>
      <c r="I9" s="3560"/>
      <c r="J9" s="778"/>
      <c r="K9" s="779"/>
      <c r="L9" s="785" t="s">
        <v>1731</v>
      </c>
      <c r="M9" s="786">
        <f ca="1">INDIRECT("'数据-取费表'!ab"&amp;$G$1)</f>
        <v>0</v>
      </c>
    </row>
    <row r="10" spans="1:33" ht="18" customHeight="1">
      <c r="A10" s="1745" t="s">
        <v>1815</v>
      </c>
      <c r="B10" s="2347" t="s">
        <v>2439</v>
      </c>
      <c r="C10" s="789">
        <f ca="1">ROUND(IF(F10="押一",C6/12*F11,IF(F10="押二",C6/12*2*F11,IF(F10="押三",C6/12*3*F11,C11*F11))),0)</f>
        <v>0</v>
      </c>
      <c r="D10" s="2354" t="s">
        <v>2932</v>
      </c>
      <c r="E10" s="2351" t="s">
        <v>2444</v>
      </c>
      <c r="F10" s="2465" t="s">
        <v>3266</v>
      </c>
      <c r="G10" s="1945"/>
      <c r="H10" s="2414" t="s">
        <v>1815</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1732</v>
      </c>
      <c r="C13" s="782">
        <f ca="1">ROUND(C29*F13,0)</f>
        <v>9238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1821</v>
      </c>
      <c r="B14" s="774" t="s">
        <v>638</v>
      </c>
      <c r="C14" s="794">
        <f ca="1">INDIRECT("'数据-取费表'!m"&amp;$G$1)+INDIRECT("'数据-取费表'!t"&amp;$G$1)</f>
        <v>6750</v>
      </c>
      <c r="D14" s="3286" t="s">
        <v>1735</v>
      </c>
      <c r="E14" s="3287"/>
      <c r="F14" s="795"/>
      <c r="G14" s="1945"/>
      <c r="H14" s="1577" t="s">
        <v>1814</v>
      </c>
      <c r="I14" s="2111" t="s">
        <v>2803</v>
      </c>
      <c r="J14" s="53">
        <f ca="1">C29</f>
        <v>9238</v>
      </c>
      <c r="K14" s="26"/>
      <c r="L14" s="791"/>
      <c r="M14" s="792"/>
    </row>
    <row r="15" spans="1:33" s="1947" customFormat="1" ht="18" customHeight="1" thickBot="1">
      <c r="A15" s="1576" t="s">
        <v>1822</v>
      </c>
      <c r="B15" s="774" t="s">
        <v>640</v>
      </c>
      <c r="C15" s="53">
        <f ca="1">ROUND(C14*F15,0)</f>
        <v>203</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199</v>
      </c>
      <c r="K16" s="1736" t="s">
        <v>1740</v>
      </c>
      <c r="L16" s="3288"/>
      <c r="M16" s="2344"/>
    </row>
    <row r="17" spans="1:33" s="1947" customFormat="1" ht="18" customHeight="1">
      <c r="A17" s="1576" t="s">
        <v>1877</v>
      </c>
      <c r="B17" s="774" t="s">
        <v>646</v>
      </c>
      <c r="C17" s="53">
        <f ca="1">ROUND(F17*(F43+INDIRECT("'数据-取费表'!S"&amp;$G$1))/10000,0)</f>
        <v>270</v>
      </c>
      <c r="D17" s="774" t="s">
        <v>1741</v>
      </c>
      <c r="E17" s="774" t="s">
        <v>1742</v>
      </c>
      <c r="F17" s="56">
        <f>'数据-取费表'!B35</f>
        <v>200</v>
      </c>
      <c r="G17" s="3259"/>
      <c r="H17" s="1577" t="s">
        <v>1814</v>
      </c>
      <c r="I17" s="774" t="s">
        <v>649</v>
      </c>
      <c r="J17" s="3018">
        <f ca="1">ROUND(IF(AND(项目基本情况!B11="自然人",项目基本情况!B10="北京市"),J6*M17/(1+'数据-取费表'!C42),J18+J19+J20),0)</f>
        <v>79</v>
      </c>
      <c r="K17" s="3286" t="s">
        <v>1743</v>
      </c>
      <c r="L17" s="3285"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101</v>
      </c>
      <c r="D18" s="774" t="s">
        <v>1736</v>
      </c>
      <c r="E18" s="774" t="s">
        <v>1737</v>
      </c>
      <c r="F18" s="799">
        <f>'数据-取费表'!B36</f>
        <v>1.4999999999999999E-2</v>
      </c>
      <c r="G18" s="3259"/>
      <c r="H18" s="1576" t="s">
        <v>1821</v>
      </c>
      <c r="I18" s="774" t="s">
        <v>1745</v>
      </c>
      <c r="J18" s="53">
        <f ca="1">ROUND(J6*M18/(1+'数据-取费表'!C42),1)</f>
        <v>0</v>
      </c>
      <c r="K18" s="3285"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7324</v>
      </c>
      <c r="D19" s="259" t="s">
        <v>1747</v>
      </c>
      <c r="E19" s="3290"/>
      <c r="F19" s="56"/>
      <c r="G19" s="1945"/>
      <c r="H19" s="1576" t="s">
        <v>1822</v>
      </c>
      <c r="I19" s="774" t="s">
        <v>1748</v>
      </c>
      <c r="J19" s="53">
        <f ca="1">IF(K19="按租金收入计税",ROUND(J6*M19/(1+'数据-取费表'!C42),1),ROUND(C29*F33*0.7,1))</f>
        <v>77.599999999999994</v>
      </c>
      <c r="K19" s="800" t="s">
        <v>658</v>
      </c>
      <c r="L19" s="774" t="s">
        <v>1737</v>
      </c>
      <c r="M19" s="799">
        <f>IF(K19="按租金收入计税",'数据-取费表'!B51,'数据-取费表'!B50)</f>
        <v>1.2E-2</v>
      </c>
    </row>
    <row r="20" spans="1:33" s="1947" customFormat="1" ht="18" customHeight="1">
      <c r="A20" s="1577" t="s">
        <v>1879</v>
      </c>
      <c r="B20" s="774" t="s">
        <v>659</v>
      </c>
      <c r="C20" s="53">
        <f ca="1">ROUND(C19*F20,0)</f>
        <v>146</v>
      </c>
      <c r="D20" s="801" t="s">
        <v>1749</v>
      </c>
      <c r="E20" s="774" t="s">
        <v>1737</v>
      </c>
      <c r="F20" s="799">
        <f>'数据-取费表'!B37</f>
        <v>0.02</v>
      </c>
      <c r="G20" s="3259"/>
      <c r="H20" s="1579" t="s">
        <v>1823</v>
      </c>
      <c r="I20" s="339" t="s">
        <v>1750</v>
      </c>
      <c r="J20" s="54">
        <f ca="1">ROUND(M20*M21/10000,0)</f>
        <v>1</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3562.65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3290"/>
      <c r="F22" s="56"/>
      <c r="G22" s="1945"/>
      <c r="H22" s="1577" t="s">
        <v>1879</v>
      </c>
      <c r="I22" s="774" t="s">
        <v>1758</v>
      </c>
      <c r="J22" s="53">
        <f ca="1">ROUND(J14*M22,0)</f>
        <v>120</v>
      </c>
      <c r="K22" s="3285" t="s">
        <v>1759</v>
      </c>
      <c r="L22" s="774" t="s">
        <v>1737</v>
      </c>
      <c r="M22" s="806">
        <f ca="1">INDIRECT("'数据-取费表'!Ak"&amp;$G$1)</f>
        <v>1.2999999999999999E-2</v>
      </c>
    </row>
    <row r="23" spans="1:33" s="1947" customFormat="1" ht="18" customHeight="1">
      <c r="A23" s="1576" t="s">
        <v>1821</v>
      </c>
      <c r="B23" s="774" t="s">
        <v>2420</v>
      </c>
      <c r="C23" s="53">
        <f ca="1">ROUND(IF('数据-取费表'!B22&lt;=1,(C19+C20)*F24*F23/2,(C19+C20)*(POWER((1+F24),F23/2)-1)),0)</f>
        <v>325</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3285"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3290"/>
      <c r="F25" s="56"/>
      <c r="G25" s="1945"/>
      <c r="H25" s="1744" t="s">
        <v>1766</v>
      </c>
      <c r="I25" s="2722" t="s">
        <v>2800</v>
      </c>
      <c r="J25" s="782">
        <f ca="1">J5-J16</f>
        <v>-199</v>
      </c>
      <c r="K25" s="2401" t="s">
        <v>1767</v>
      </c>
      <c r="L25" s="2402"/>
      <c r="M25" s="2403"/>
    </row>
    <row r="26" spans="1:33" ht="18" customHeight="1">
      <c r="A26" s="1576" t="s">
        <v>1821</v>
      </c>
      <c r="B26" s="774" t="s">
        <v>2421</v>
      </c>
      <c r="C26" s="53">
        <f ca="1">ROUND((C19+C20)*F26,0)</f>
        <v>747</v>
      </c>
      <c r="D26" s="801" t="s">
        <v>1768</v>
      </c>
      <c r="E26" s="785" t="s">
        <v>1769</v>
      </c>
      <c r="F26" s="784">
        <f ca="1">INDIRECT("'数据-取费表'!q"&amp;$G$1)</f>
        <v>0.1</v>
      </c>
      <c r="G26" s="1945"/>
      <c r="H26" s="2355" t="s">
        <v>1770</v>
      </c>
      <c r="I26" s="2112" t="s">
        <v>2805</v>
      </c>
      <c r="J26" s="773">
        <f ca="1">IF(J5&lt;&gt;0,ROUND(J25*(1-((1+M28)/(1+M26))^M27)/(M26-M28),0),0)</f>
        <v>0</v>
      </c>
      <c r="K26" s="803" t="s">
        <v>1771</v>
      </c>
      <c r="L26" s="774" t="s">
        <v>2403</v>
      </c>
      <c r="M26" s="784">
        <f ca="1">INDIRECT("'数据-取费表'!I"&amp;$G$1)</f>
        <v>0.05</v>
      </c>
    </row>
    <row r="27" spans="1:33" ht="18" customHeight="1">
      <c r="A27" s="1576" t="s">
        <v>1822</v>
      </c>
      <c r="B27" s="774" t="s">
        <v>679</v>
      </c>
      <c r="C27" s="53">
        <f ca="1">ROUND(F21*F26,4)</f>
        <v>2E-3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9238</v>
      </c>
      <c r="D29" s="2398"/>
      <c r="E29" s="2399"/>
      <c r="F29" s="2400"/>
      <c r="G29" s="3259"/>
      <c r="H29" s="812" t="s">
        <v>1777</v>
      </c>
      <c r="I29" s="813" t="s">
        <v>1778</v>
      </c>
      <c r="J29" s="814">
        <f ca="1">ROUND(J26/(1+F40)^F41,0)</f>
        <v>0</v>
      </c>
      <c r="K29" s="815" t="s">
        <v>1779</v>
      </c>
      <c r="L29" s="816"/>
      <c r="M29" s="817">
        <f ca="1">INDIRECT("'数据-取费表'!k"&amp;$G$1)</f>
        <v>13500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1739</v>
      </c>
      <c r="C30" s="782">
        <f ca="1">ROUND(C31+C36+C37+C38,0)</f>
        <v>308</v>
      </c>
      <c r="D30" s="1736" t="s">
        <v>1740</v>
      </c>
      <c r="E30" s="3288"/>
      <c r="F30" s="2344"/>
      <c r="G30" s="1945"/>
      <c r="H30" s="1948"/>
      <c r="I30" s="1949"/>
      <c r="J30" s="1950"/>
      <c r="K30" s="1951"/>
      <c r="L30" s="1952"/>
      <c r="M30" s="1953"/>
    </row>
    <row r="31" spans="1:33" ht="18" customHeight="1">
      <c r="A31" s="1577" t="s">
        <v>1814</v>
      </c>
      <c r="B31" s="774" t="s">
        <v>649</v>
      </c>
      <c r="C31" s="3018">
        <f ca="1">ROUND(IF(AND(项目基本情况!B11="自然人",项目基本情况!B10="北京市"),C6*F31/(1+'数据-取费表'!C42),C32+C33+C34),0)</f>
        <v>159</v>
      </c>
      <c r="D31" s="3286" t="s">
        <v>1743</v>
      </c>
      <c r="E31" s="3285" t="s">
        <v>1783</v>
      </c>
      <c r="F31" s="3017">
        <f ca="1">IF(项目基本情况!B11="企业","——",IF('数据-取费表'!B10="住宅",IF(F6*F7*F8/12/(1+'数据-取费表'!F30)&gt;100000,4%,2.5%),IF(F6*F7*F8/12/(1+'数据-取费表'!F30)&gt;100000,12%,7%)))</f>
        <v>0.12</v>
      </c>
      <c r="G31" s="1945"/>
      <c r="H31" s="3256" t="s">
        <v>2989</v>
      </c>
      <c r="I31" s="1949"/>
      <c r="J31" s="1950"/>
      <c r="K31" s="1951"/>
      <c r="L31" s="1952"/>
      <c r="M31" s="1953"/>
    </row>
    <row r="32" spans="1:33" ht="18" customHeight="1">
      <c r="A32" s="1576" t="s">
        <v>1821</v>
      </c>
      <c r="B32" s="774" t="s">
        <v>1745</v>
      </c>
      <c r="C32" s="53">
        <f ca="1">ROUND(C6*F32/(1+'数据-取费表'!C42),1)</f>
        <v>80.3</v>
      </c>
      <c r="D32" s="3285" t="s">
        <v>1746</v>
      </c>
      <c r="E32" s="774" t="s">
        <v>1775</v>
      </c>
      <c r="F32" s="799">
        <f>'数据-取费表'!B41</f>
        <v>5.5000000000000007E-2</v>
      </c>
      <c r="G32" s="1945"/>
      <c r="H32" s="1954"/>
      <c r="I32" s="1955"/>
      <c r="J32" s="1956"/>
      <c r="K32" s="1957"/>
      <c r="L32" s="1958"/>
      <c r="M32" s="1959"/>
    </row>
    <row r="33" spans="1:18" ht="18" customHeight="1">
      <c r="A33" s="1576" t="s">
        <v>1822</v>
      </c>
      <c r="B33" s="774" t="s">
        <v>1748</v>
      </c>
      <c r="C33" s="53">
        <f ca="1">IF(D33="按租金收入计税",ROUND(C6*F33/(1+'数据-取费表'!C42),1),IF(D33="按房产原值计税",ROUND(C29*F33*0.7,1),INDIRECT("'数据-取费表'!Aj"&amp;$G$1)))</f>
        <v>77.599999999999994</v>
      </c>
      <c r="D33" s="800" t="s">
        <v>1670</v>
      </c>
      <c r="E33" s="774" t="s">
        <v>1775</v>
      </c>
      <c r="F33" s="799">
        <f>IF(D33="按租金收入计税",'数据-取费表'!B51,'数据-取费表'!B50)</f>
        <v>1.2E-2</v>
      </c>
      <c r="G33" s="1945"/>
      <c r="H33" s="1960"/>
      <c r="I33" s="1960"/>
      <c r="J33" s="1960"/>
      <c r="K33" s="1961"/>
      <c r="L33" s="1960"/>
      <c r="M33" s="1960"/>
    </row>
    <row r="34" spans="1:18" ht="18" customHeight="1">
      <c r="A34" s="1579" t="s">
        <v>1823</v>
      </c>
      <c r="B34" s="339" t="s">
        <v>1750</v>
      </c>
      <c r="C34" s="54">
        <f ca="1">ROUND(F34*F35/10000,1)</f>
        <v>1.1000000000000001</v>
      </c>
      <c r="D34" s="803" t="s">
        <v>1751</v>
      </c>
      <c r="E34" s="774" t="s">
        <v>1752</v>
      </c>
      <c r="F34" s="632">
        <f>'数据-取费表'!B52</f>
        <v>3</v>
      </c>
      <c r="G34" s="1945"/>
      <c r="H34" s="1948"/>
      <c r="I34" s="824" t="s">
        <v>1803</v>
      </c>
      <c r="J34" s="825"/>
      <c r="K34" s="1963"/>
      <c r="L34" s="1962"/>
      <c r="M34" s="1962"/>
    </row>
    <row r="35" spans="1:18" ht="18" customHeight="1">
      <c r="A35" s="804"/>
      <c r="B35" s="783"/>
      <c r="C35" s="69"/>
      <c r="D35" s="805"/>
      <c r="E35" s="774" t="s">
        <v>1756</v>
      </c>
      <c r="F35" s="775">
        <f ca="1">INDIRECT("'数据-取费表'!r"&amp;$G$1)</f>
        <v>3562.65</v>
      </c>
      <c r="G35" s="1945"/>
      <c r="H35" s="1948"/>
      <c r="I35" s="826" t="s">
        <v>1804</v>
      </c>
      <c r="J35" s="827">
        <f ca="1">ROUND(C13*J36,0)</f>
        <v>785</v>
      </c>
      <c r="K35" s="1961"/>
      <c r="L35" s="1960"/>
      <c r="M35" s="1960"/>
    </row>
    <row r="36" spans="1:18" ht="18" customHeight="1">
      <c r="A36" s="1577" t="s">
        <v>1879</v>
      </c>
      <c r="B36" s="774" t="s">
        <v>1758</v>
      </c>
      <c r="C36" s="53">
        <f ca="1">ROUND(C29*F36,1)</f>
        <v>120.1</v>
      </c>
      <c r="D36" s="3285" t="s">
        <v>1793</v>
      </c>
      <c r="E36" s="774" t="s">
        <v>1775</v>
      </c>
      <c r="F36" s="806">
        <f ca="1">INDIRECT("'数据-取费表'!Ak"&amp;$G$1)</f>
        <v>1.2999999999999999E-2</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13.9</v>
      </c>
      <c r="D37" s="3285" t="s">
        <v>1761</v>
      </c>
      <c r="E37" s="774" t="s">
        <v>1775</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15.3</v>
      </c>
      <c r="D38" s="2398" t="s">
        <v>1764</v>
      </c>
      <c r="E38" s="2399" t="s">
        <v>1775</v>
      </c>
      <c r="F38" s="2395">
        <f ca="1">INDIRECT("'数据-取费表'!Am"&amp;$G$1)</f>
        <v>0.01</v>
      </c>
      <c r="G38" s="1945"/>
      <c r="H38" s="1960"/>
      <c r="I38" s="832" t="s">
        <v>1807</v>
      </c>
      <c r="J38" s="833"/>
      <c r="K38" s="1965"/>
      <c r="L38" s="1960"/>
      <c r="M38" s="1960"/>
    </row>
    <row r="39" spans="1:18" ht="24.6" customHeight="1" thickTop="1">
      <c r="A39" s="1744" t="s">
        <v>1766</v>
      </c>
      <c r="B39" s="2722" t="s">
        <v>2800</v>
      </c>
      <c r="C39" s="782">
        <f ca="1">C5-C30</f>
        <v>1225</v>
      </c>
      <c r="D39" s="2401" t="s">
        <v>1767</v>
      </c>
      <c r="E39" s="2402"/>
      <c r="F39" s="2403"/>
      <c r="G39" s="1945"/>
      <c r="H39" s="1960"/>
      <c r="I39" s="826" t="s">
        <v>1808</v>
      </c>
      <c r="J39" s="834">
        <f ca="1">ROUND(J35/C39,3)</f>
        <v>0.64100000000000001</v>
      </c>
      <c r="K39" s="1965"/>
      <c r="L39" s="1960"/>
      <c r="M39" s="1960"/>
    </row>
    <row r="40" spans="1:18" ht="18" customHeight="1">
      <c r="A40" s="771" t="s">
        <v>1770</v>
      </c>
      <c r="B40" s="2112" t="s">
        <v>2288</v>
      </c>
      <c r="C40" s="773">
        <f ca="1">ROUND(C39*(1-((1+F42)/(1+F40))^F41)/(F40-F42),0)</f>
        <v>30071</v>
      </c>
      <c r="D40" s="803" t="s">
        <v>1771</v>
      </c>
      <c r="E40" s="774" t="s">
        <v>2403</v>
      </c>
      <c r="F40" s="784">
        <f ca="1">INDIRECT("'数据-取费表'!I"&amp;$G$1)</f>
        <v>0.05</v>
      </c>
      <c r="G40" s="1945"/>
      <c r="H40" s="1945"/>
      <c r="I40" s="826" t="s">
        <v>1809</v>
      </c>
      <c r="J40" s="834">
        <f ca="1">1-J39</f>
        <v>0.35899999999999999</v>
      </c>
      <c r="K40" s="1965"/>
      <c r="L40" s="1945"/>
      <c r="M40" s="1945"/>
    </row>
    <row r="41" spans="1:18" ht="18" customHeight="1">
      <c r="A41" s="776"/>
      <c r="B41" s="777"/>
      <c r="C41" s="778"/>
      <c r="D41" s="810" t="s">
        <v>1798</v>
      </c>
      <c r="E41" s="774" t="s">
        <v>1774</v>
      </c>
      <c r="F41" s="811">
        <f ca="1">IF(INDIRECT("'数据-取费表'!af"&amp;$G$1)=0,INDIRECT("'数据-取费表'!ae"&amp;$G$1),INDIRECT("'数据-取费表'!af"&amp;$G$1))</f>
        <v>39.47</v>
      </c>
      <c r="G41" s="1945"/>
      <c r="H41" s="1900"/>
      <c r="I41" s="832" t="s">
        <v>1810</v>
      </c>
      <c r="J41" s="835"/>
      <c r="K41" s="1964"/>
      <c r="L41" s="1900"/>
      <c r="M41" s="1900"/>
    </row>
    <row r="42" spans="1:18" ht="18" customHeight="1">
      <c r="A42" s="780"/>
      <c r="B42" s="781"/>
      <c r="C42" s="782"/>
      <c r="D42" s="805"/>
      <c r="E42" s="774" t="s">
        <v>1776</v>
      </c>
      <c r="F42" s="784">
        <f ca="1">INDIRECT("'数据-取费表'!v"&amp;$G$1)</f>
        <v>2.5000000000000001E-2</v>
      </c>
      <c r="G42" s="1945"/>
      <c r="H42" s="1900"/>
      <c r="I42" s="836" t="s">
        <v>1811</v>
      </c>
      <c r="J42" s="834">
        <f ca="1">ROUND(C13/C40,3)</f>
        <v>0.307</v>
      </c>
      <c r="K42" s="1964"/>
      <c r="L42" s="1900"/>
      <c r="M42" s="1900"/>
    </row>
    <row r="43" spans="1:18" ht="18" customHeight="1" thickBot="1">
      <c r="A43" s="812" t="s">
        <v>1777</v>
      </c>
      <c r="B43" s="813" t="s">
        <v>1800</v>
      </c>
      <c r="C43" s="814">
        <f ca="1">ROUND(C40*10000/F43,0)</f>
        <v>22275</v>
      </c>
      <c r="D43" s="815" t="s">
        <v>1801</v>
      </c>
      <c r="E43" s="816" t="s">
        <v>1802</v>
      </c>
      <c r="F43" s="817">
        <f ca="1">INDIRECT("'数据-取费表'!k"&amp;$G$1)</f>
        <v>13500</v>
      </c>
      <c r="G43" s="1945"/>
      <c r="H43" s="1900"/>
      <c r="I43" s="836" t="s">
        <v>1812</v>
      </c>
      <c r="J43" s="837">
        <f ca="1">1-J42</f>
        <v>0.69300000000000006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-33710</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8" t="s">
        <v>2329</v>
      </c>
      <c r="J48" s="2237" t="s">
        <v>2334</v>
      </c>
      <c r="K48" s="2808" t="s">
        <v>2335</v>
      </c>
      <c r="L48" s="1822">
        <f ca="1">INDIRECT("'数据-取费表'!f"&amp;$G$1)</f>
        <v>39.47</v>
      </c>
      <c r="M48" s="3261"/>
      <c r="O48" s="2253" t="s">
        <v>2363</v>
      </c>
      <c r="P48" s="2254" t="s">
        <v>2389</v>
      </c>
      <c r="Q48" s="2255">
        <f ca="1">C40+J29</f>
        <v>30071</v>
      </c>
      <c r="R48" s="2254" t="s">
        <v>2364</v>
      </c>
    </row>
    <row r="49" spans="1:18" s="1942" customFormat="1" ht="18" customHeight="1" thickBot="1">
      <c r="A49" s="776"/>
      <c r="B49" s="777"/>
      <c r="C49" s="778"/>
      <c r="D49" s="779"/>
      <c r="E49" s="774" t="s">
        <v>1729</v>
      </c>
      <c r="F49" s="775">
        <f ca="1">F7</f>
        <v>1</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v>
      </c>
      <c r="G50" s="1977"/>
      <c r="H50" s="1975"/>
      <c r="I50" s="2798" t="s">
        <v>2331</v>
      </c>
      <c r="J50" s="2805">
        <f>SUMPRODUCT((I63:I65=J47)*(J62:L62=J48)*(J63:L65))</f>
        <v>60</v>
      </c>
      <c r="K50" s="2809" t="s">
        <v>2337</v>
      </c>
      <c r="L50" s="2239"/>
      <c r="M50" s="3261"/>
      <c r="O50" s="2256" t="s">
        <v>2367</v>
      </c>
      <c r="P50" s="2254" t="s">
        <v>2391</v>
      </c>
      <c r="Q50" s="2255">
        <f ca="1">C29</f>
        <v>9238</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9076</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2932</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39.47</v>
      </c>
      <c r="K53" s="3564" t="s">
        <v>2925</v>
      </c>
      <c r="L53" s="3565"/>
      <c r="M53" s="3261"/>
      <c r="O53" s="2256" t="s">
        <v>2372</v>
      </c>
      <c r="P53" s="2254" t="s">
        <v>2373</v>
      </c>
      <c r="Q53" s="2255">
        <f ca="1">J53</f>
        <v>39.47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30071</v>
      </c>
      <c r="R54" s="2258" t="s">
        <v>2376</v>
      </c>
    </row>
    <row r="55" spans="1:18" s="1942" customFormat="1" ht="18" customHeight="1" thickTop="1" thickBot="1">
      <c r="A55" s="787">
        <v>2</v>
      </c>
      <c r="B55" s="788" t="s">
        <v>637</v>
      </c>
      <c r="C55" s="789">
        <f ca="1">C13</f>
        <v>9238</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2287</v>
      </c>
      <c r="C56" s="53">
        <f ca="1">C29</f>
        <v>9238</v>
      </c>
      <c r="D56" s="3285"/>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213</v>
      </c>
      <c r="D57" s="26" t="s">
        <v>1740</v>
      </c>
      <c r="E57" s="3290"/>
      <c r="F57" s="56"/>
      <c r="I57" s="2818" t="s">
        <v>2342</v>
      </c>
      <c r="J57" s="2819" t="str">
        <f ca="1">IF(OR(M47="住宅",J51&lt;L48,J56="是"),"——",J51-L48)</f>
        <v>——</v>
      </c>
      <c r="K57" s="2798" t="s">
        <v>2347</v>
      </c>
      <c r="L57" s="1822" t="str">
        <f ca="1">IF(L48&lt;J51,"——",IF(L55="比较法",L49,IF(L55="基准地价",L50,L51)))</f>
        <v>——</v>
      </c>
      <c r="M57" s="3261"/>
      <c r="O57" s="2253" t="s">
        <v>2363</v>
      </c>
      <c r="P57" s="2254" t="s">
        <v>2389</v>
      </c>
      <c r="Q57" s="2255">
        <f ca="1">C40+J29</f>
        <v>30071</v>
      </c>
      <c r="R57" s="2254" t="s">
        <v>2364</v>
      </c>
    </row>
    <row r="58" spans="1:18" s="1942" customFormat="1" ht="28.5" customHeight="1" thickBot="1">
      <c r="A58" s="1577" t="s">
        <v>1814</v>
      </c>
      <c r="B58" s="774" t="s">
        <v>649</v>
      </c>
      <c r="C58" s="3018">
        <f ca="1">ROUND(IF(AND(项目基本情况!B11="自然人",项目基本情况!B10="北京市"),C48*F58/(1+'数据-取费表'!C42),C59+C60+C61),0)</f>
        <v>79</v>
      </c>
      <c r="D58" s="3286" t="s">
        <v>650</v>
      </c>
      <c r="E58" s="3285"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3285"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77.599999999999994</v>
      </c>
      <c r="D60" s="3285" t="str">
        <f>D33</f>
        <v>按房产原值计税</v>
      </c>
      <c r="E60" s="774" t="s">
        <v>1737</v>
      </c>
      <c r="F60" s="799">
        <f t="shared" si="0"/>
        <v>1.2E-2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1.1000000000000001</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3562.65</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120.1</v>
      </c>
      <c r="D63" s="3285" t="s">
        <v>1793</v>
      </c>
      <c r="E63" s="774" t="s">
        <v>1737</v>
      </c>
      <c r="F63" s="806">
        <f t="shared" ca="1" si="0"/>
        <v>1.2999999999999999E-2</v>
      </c>
      <c r="I63" s="2823" t="s">
        <v>2354</v>
      </c>
      <c r="J63" s="2824">
        <v>70</v>
      </c>
      <c r="K63" s="2824">
        <v>50</v>
      </c>
      <c r="L63" s="2824">
        <v>80</v>
      </c>
      <c r="M63" s="2826">
        <v>0.02</v>
      </c>
      <c r="O63" s="2253" t="s">
        <v>2375</v>
      </c>
      <c r="P63" s="2254" t="s">
        <v>2392</v>
      </c>
      <c r="Q63" s="2255">
        <f ca="1">Q57+Q58</f>
        <v>30071</v>
      </c>
      <c r="R63" s="2258" t="s">
        <v>2376</v>
      </c>
    </row>
    <row r="64" spans="1:18" s="1942" customFormat="1" ht="16.5" thickBot="1">
      <c r="A64" s="1577" t="s">
        <v>1880</v>
      </c>
      <c r="B64" s="774" t="s">
        <v>672</v>
      </c>
      <c r="C64" s="53">
        <f ca="1">ROUND(C55*F64,1)</f>
        <v>13.9</v>
      </c>
      <c r="D64" s="3285"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3285"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-213</v>
      </c>
      <c r="D66" s="3286" t="s">
        <v>693</v>
      </c>
      <c r="E66" s="3289"/>
      <c r="F66" s="809"/>
      <c r="K66" s="1968"/>
      <c r="O66" s="2253" t="s">
        <v>2363</v>
      </c>
      <c r="P66" s="2254" t="s">
        <v>2389</v>
      </c>
      <c r="Q66" s="2255">
        <f ca="1">C40+J29</f>
        <v>30071</v>
      </c>
      <c r="R66" s="2254" t="s">
        <v>2364</v>
      </c>
    </row>
    <row r="67" spans="1:18" s="1942" customFormat="1" ht="20.25" thickBot="1">
      <c r="A67" s="771" t="s">
        <v>1770</v>
      </c>
      <c r="B67" s="2112" t="s">
        <v>2288</v>
      </c>
      <c r="C67" s="773">
        <f ca="1">ROUND(C66*(1-((1+F69)/(1+F67))^F68)/(F67-F69),0)</f>
        <v>-3639</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 ca="1">F41</f>
        <v>39.47</v>
      </c>
      <c r="O68" s="2256" t="s">
        <v>2367</v>
      </c>
      <c r="P68" s="2254" t="s">
        <v>2397</v>
      </c>
      <c r="Q68" s="2260">
        <f ca="1">L51</f>
        <v>9076</v>
      </c>
      <c r="R68" s="2261" t="s">
        <v>2400</v>
      </c>
    </row>
    <row r="69" spans="1:18" ht="20.25" thickBot="1">
      <c r="A69" s="780"/>
      <c r="B69" s="781"/>
      <c r="C69" s="782"/>
      <c r="D69" s="805"/>
      <c r="E69" s="774" t="s">
        <v>703</v>
      </c>
      <c r="F69" s="2226"/>
      <c r="O69" s="2256" t="s">
        <v>2368</v>
      </c>
      <c r="P69" s="2262" t="s">
        <v>2382</v>
      </c>
      <c r="Q69" s="2255">
        <f ca="1">ROUND(Q70-Q71*Q72,0)</f>
        <v>440</v>
      </c>
      <c r="R69" s="2258"/>
    </row>
    <row r="70" spans="1:18" ht="15.75" thickBot="1">
      <c r="A70" s="812" t="s">
        <v>1777</v>
      </c>
      <c r="B70" s="813" t="s">
        <v>1800</v>
      </c>
      <c r="C70" s="814">
        <f ca="1">ROUND(C67*10000/F70,0)</f>
        <v>-2696</v>
      </c>
      <c r="D70" s="815" t="s">
        <v>1801</v>
      </c>
      <c r="E70" s="816" t="s">
        <v>1802</v>
      </c>
      <c r="F70" s="817">
        <f ca="1">F43</f>
        <v>13500</v>
      </c>
      <c r="O70" s="2256" t="s">
        <v>2383</v>
      </c>
      <c r="P70" s="2262" t="s">
        <v>2384</v>
      </c>
      <c r="Q70" s="2255">
        <f ca="1">C39</f>
        <v>1225</v>
      </c>
      <c r="R70" s="2254" t="s">
        <v>2364</v>
      </c>
    </row>
    <row r="71" spans="1:18" ht="15.75" thickBot="1">
      <c r="O71" s="2256" t="s">
        <v>2385</v>
      </c>
      <c r="P71" s="2262" t="s">
        <v>2386</v>
      </c>
      <c r="Q71" s="2255">
        <f ca="1">C13</f>
        <v>9238</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30071</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X50" sqref="X5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3232</v>
      </c>
      <c r="D1" s="2797" t="s">
        <v>942</v>
      </c>
      <c r="E1" s="2242" t="s">
        <v>2358</v>
      </c>
      <c r="F1" s="2243">
        <f ca="1">J53</f>
        <v>39.47</v>
      </c>
      <c r="G1" s="3257">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28271</v>
      </c>
      <c r="C2" s="3262"/>
      <c r="D2" s="3263"/>
      <c r="E2" s="3264"/>
      <c r="F2" s="3264"/>
      <c r="G2" s="3258"/>
      <c r="H2" s="1940"/>
      <c r="I2" s="1940"/>
      <c r="J2" s="1940"/>
      <c r="K2" s="1941"/>
      <c r="L2" s="1940"/>
      <c r="M2" s="1940"/>
    </row>
    <row r="3" spans="1:33" ht="18" customHeight="1" thickBot="1">
      <c r="A3" s="822" t="s">
        <v>1717</v>
      </c>
      <c r="B3" s="823">
        <f ca="1">IF(ISERROR(B2*10000/F43),0,ROUND(B2*10000/F43,0))</f>
        <v>34902</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1719</v>
      </c>
      <c r="J4" s="768" t="s">
        <v>1724</v>
      </c>
      <c r="K4" s="768" t="s">
        <v>1725</v>
      </c>
      <c r="L4" s="769" t="s">
        <v>1726</v>
      </c>
      <c r="M4" s="770"/>
    </row>
    <row r="5" spans="1:33" ht="18" customHeight="1">
      <c r="A5" s="771">
        <v>1</v>
      </c>
      <c r="B5" s="772" t="s">
        <v>2438</v>
      </c>
      <c r="C5" s="55">
        <f ca="1">C6+C10+C12</f>
        <v>1465</v>
      </c>
      <c r="D5" s="2349" t="s">
        <v>2441</v>
      </c>
      <c r="E5" s="2343"/>
      <c r="F5" s="2344"/>
      <c r="G5" s="1945"/>
      <c r="H5" s="771">
        <v>1</v>
      </c>
      <c r="I5" s="772" t="s">
        <v>2438</v>
      </c>
      <c r="J5" s="55">
        <f ca="1">J6+J10+J12</f>
        <v>0</v>
      </c>
      <c r="K5" s="2349" t="s">
        <v>2441</v>
      </c>
      <c r="L5" s="2343"/>
      <c r="M5" s="2344"/>
    </row>
    <row r="6" spans="1:33" ht="18" customHeight="1">
      <c r="A6" s="1745" t="s">
        <v>1814</v>
      </c>
      <c r="B6" s="3558" t="s">
        <v>2443</v>
      </c>
      <c r="C6" s="773">
        <f ca="1">ROUND(F6*F8*F7*(1-F9)/10000,0)</f>
        <v>1463</v>
      </c>
      <c r="D6" s="2350" t="s">
        <v>2442</v>
      </c>
      <c r="E6" s="774" t="s">
        <v>1728</v>
      </c>
      <c r="F6" s="775">
        <f ca="1">INDIRECT("'数据-取费表'!u"&amp;$G$1)</f>
        <v>5.5</v>
      </c>
      <c r="G6" s="1945"/>
      <c r="H6" s="2357" t="s">
        <v>1814</v>
      </c>
      <c r="I6" s="3558" t="s">
        <v>2443</v>
      </c>
      <c r="J6" s="773">
        <f ca="1">ROUND(M6*M8*M7*(1-M9)/10000,0)</f>
        <v>0</v>
      </c>
      <c r="K6" s="339" t="s">
        <v>1727</v>
      </c>
      <c r="L6" s="774" t="s">
        <v>1728</v>
      </c>
      <c r="M6" s="775">
        <f ca="1">INDIRECT("'数据-取费表'!z"&amp;$G$1)</f>
        <v>0</v>
      </c>
    </row>
    <row r="7" spans="1:33" ht="18" customHeight="1">
      <c r="A7" s="2353"/>
      <c r="B7" s="3559"/>
      <c r="C7" s="778"/>
      <c r="D7" s="779"/>
      <c r="E7" s="774" t="s">
        <v>1729</v>
      </c>
      <c r="F7" s="775">
        <f ca="1">IF(INDIRECT("'数据-取费表'!ah"&amp;$G$1)="",INDIRECT("'数据-取费表'!k"&amp;$G$1),INDIRECT("'数据-取费表'!ah"&amp;$G$1))</f>
        <v>8100</v>
      </c>
      <c r="G7" s="1945"/>
      <c r="H7" s="2342"/>
      <c r="I7" s="3559"/>
      <c r="J7" s="778"/>
      <c r="K7" s="779"/>
      <c r="L7" s="774" t="s">
        <v>1729</v>
      </c>
      <c r="M7" s="775">
        <f ca="1">F7</f>
        <v>8100</v>
      </c>
    </row>
    <row r="8" spans="1:33" ht="18" customHeight="1">
      <c r="A8" s="2346"/>
      <c r="B8" s="3560"/>
      <c r="C8" s="778"/>
      <c r="D8" s="779"/>
      <c r="E8" s="774" t="s">
        <v>1730</v>
      </c>
      <c r="F8" s="775">
        <f ca="1">INDIRECT("'数据-取费表'!ai"&amp;$G$1)</f>
        <v>365</v>
      </c>
      <c r="G8" s="1945"/>
      <c r="H8" s="2342"/>
      <c r="I8" s="3560"/>
      <c r="J8" s="778"/>
      <c r="K8" s="779"/>
      <c r="L8" s="774" t="s">
        <v>1730</v>
      </c>
      <c r="M8" s="775">
        <f ca="1">INDIRECT("'数据-取费表'!ai"&amp;$G$1)</f>
        <v>365</v>
      </c>
    </row>
    <row r="9" spans="1:33" ht="18" customHeight="1">
      <c r="A9" s="776"/>
      <c r="B9" s="3561"/>
      <c r="C9" s="778"/>
      <c r="D9" s="779"/>
      <c r="E9" s="774" t="s">
        <v>1731</v>
      </c>
      <c r="F9" s="784">
        <f ca="1">INDIRECT("'数据-取费表'!w"&amp;$G$1)</f>
        <v>0.1</v>
      </c>
      <c r="G9" s="1945"/>
      <c r="H9" s="2358"/>
      <c r="I9" s="3560"/>
      <c r="J9" s="778"/>
      <c r="K9" s="779"/>
      <c r="L9" s="785" t="s">
        <v>1731</v>
      </c>
      <c r="M9" s="786">
        <f ca="1">INDIRECT("'数据-取费表'!ab"&amp;$G$1)</f>
        <v>0</v>
      </c>
    </row>
    <row r="10" spans="1:33" ht="18" customHeight="1">
      <c r="A10" s="1745" t="s">
        <v>1815</v>
      </c>
      <c r="B10" s="2347" t="s">
        <v>2439</v>
      </c>
      <c r="C10" s="789">
        <f ca="1">ROUND(IF(F10="押一",C6/12*F11,IF(F10="押二",C6/12*2*F11,IF(F10="押三",C6/12*3*F11,C11*F11))),0)</f>
        <v>2</v>
      </c>
      <c r="D10" s="2354" t="s">
        <v>2932</v>
      </c>
      <c r="E10" s="2351" t="s">
        <v>2444</v>
      </c>
      <c r="F10" s="2465" t="s">
        <v>3251</v>
      </c>
      <c r="G10" s="1945"/>
      <c r="H10" s="2414" t="s">
        <v>1815</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1732</v>
      </c>
      <c r="C13" s="782">
        <f ca="1">ROUND(C29*F13,0)</f>
        <v>3560</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1821</v>
      </c>
      <c r="B14" s="774" t="s">
        <v>638</v>
      </c>
      <c r="C14" s="794">
        <f ca="1">INDIRECT("'数据-取费表'!m"&amp;$G$1)+INDIRECT("'数据-取费表'!t"&amp;$G$1)</f>
        <v>2430</v>
      </c>
      <c r="D14" s="3286" t="s">
        <v>1735</v>
      </c>
      <c r="E14" s="3287"/>
      <c r="F14" s="795"/>
      <c r="G14" s="1945"/>
      <c r="H14" s="1577" t="s">
        <v>1814</v>
      </c>
      <c r="I14" s="2111" t="s">
        <v>2803</v>
      </c>
      <c r="J14" s="53">
        <f ca="1">C29</f>
        <v>3560</v>
      </c>
      <c r="K14" s="26"/>
      <c r="L14" s="791"/>
      <c r="M14" s="792"/>
    </row>
    <row r="15" spans="1:33" s="1947" customFormat="1" ht="18" customHeight="1" thickBot="1">
      <c r="A15" s="1576" t="s">
        <v>1822</v>
      </c>
      <c r="B15" s="774" t="s">
        <v>640</v>
      </c>
      <c r="C15" s="53">
        <f ca="1">ROUND(C14*F15,0)</f>
        <v>73</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346</v>
      </c>
      <c r="K16" s="1736" t="s">
        <v>1740</v>
      </c>
      <c r="L16" s="3288"/>
      <c r="M16" s="2344"/>
    </row>
    <row r="17" spans="1:33" s="1947" customFormat="1" ht="18" customHeight="1">
      <c r="A17" s="1576" t="s">
        <v>1877</v>
      </c>
      <c r="B17" s="774" t="s">
        <v>646</v>
      </c>
      <c r="C17" s="53">
        <f ca="1">ROUND(F17*(F43+INDIRECT("'数据-取费表'!S"&amp;$G$1))/10000,0)</f>
        <v>162</v>
      </c>
      <c r="D17" s="774" t="s">
        <v>1741</v>
      </c>
      <c r="E17" s="774" t="s">
        <v>1742</v>
      </c>
      <c r="F17" s="56">
        <f>'数据-取费表'!B35</f>
        <v>200</v>
      </c>
      <c r="G17" s="3259"/>
      <c r="H17" s="1577" t="s">
        <v>1814</v>
      </c>
      <c r="I17" s="774" t="s">
        <v>649</v>
      </c>
      <c r="J17" s="3018">
        <f ca="1">ROUND(IF(AND(项目基本情况!B11="自然人",项目基本情况!B10="北京市"),J6*M17/(1+'数据-取费表'!C42),J18+J19+J20),0)</f>
        <v>300</v>
      </c>
      <c r="K17" s="3286" t="s">
        <v>1743</v>
      </c>
      <c r="L17" s="3285"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36</v>
      </c>
      <c r="D18" s="774" t="s">
        <v>1736</v>
      </c>
      <c r="E18" s="774" t="s">
        <v>1737</v>
      </c>
      <c r="F18" s="799">
        <f>'数据-取费表'!B36</f>
        <v>1.4999999999999999E-2</v>
      </c>
      <c r="G18" s="3259"/>
      <c r="H18" s="1576" t="s">
        <v>1821</v>
      </c>
      <c r="I18" s="774" t="s">
        <v>1745</v>
      </c>
      <c r="J18" s="53">
        <f ca="1">ROUND(J6*M18/(1+'数据-取费表'!C42),1)</f>
        <v>0</v>
      </c>
      <c r="K18" s="3285"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2701</v>
      </c>
      <c r="D19" s="259" t="s">
        <v>1747</v>
      </c>
      <c r="E19" s="3290"/>
      <c r="F19" s="56"/>
      <c r="G19" s="1945"/>
      <c r="H19" s="1576" t="s">
        <v>1822</v>
      </c>
      <c r="I19" s="774" t="s">
        <v>1748</v>
      </c>
      <c r="J19" s="53">
        <f ca="1">IF(K19="按租金收入计税",ROUND(J6*M19/(1+'数据-取费表'!C42),1),ROUND(C29*F33*0.7,1))</f>
        <v>299</v>
      </c>
      <c r="K19" s="800" t="s">
        <v>658</v>
      </c>
      <c r="L19" s="774" t="s">
        <v>1737</v>
      </c>
      <c r="M19" s="799">
        <f>IF(K19="按租金收入计税",'数据-取费表'!B51,'数据-取费表'!B50)</f>
        <v>1.2E-2</v>
      </c>
    </row>
    <row r="20" spans="1:33" s="1947" customFormat="1" ht="18" customHeight="1">
      <c r="A20" s="1577" t="s">
        <v>1879</v>
      </c>
      <c r="B20" s="774" t="s">
        <v>659</v>
      </c>
      <c r="C20" s="53">
        <f ca="1">ROUND(C19*F20,0)</f>
        <v>54</v>
      </c>
      <c r="D20" s="801" t="s">
        <v>1749</v>
      </c>
      <c r="E20" s="774" t="s">
        <v>1737</v>
      </c>
      <c r="F20" s="799">
        <f>'数据-取费表'!B37</f>
        <v>0.02</v>
      </c>
      <c r="G20" s="3259"/>
      <c r="H20" s="1579" t="s">
        <v>1823</v>
      </c>
      <c r="I20" s="339" t="s">
        <v>1750</v>
      </c>
      <c r="J20" s="54">
        <f ca="1">ROUND(M20*M21/10000,0)</f>
        <v>1</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2137.59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3290"/>
      <c r="F22" s="56"/>
      <c r="G22" s="1945"/>
      <c r="H22" s="1577" t="s">
        <v>1879</v>
      </c>
      <c r="I22" s="774" t="s">
        <v>1758</v>
      </c>
      <c r="J22" s="53">
        <f ca="1">ROUND(J14*M22,0)</f>
        <v>46</v>
      </c>
      <c r="K22" s="3285" t="s">
        <v>1759</v>
      </c>
      <c r="L22" s="774" t="s">
        <v>1737</v>
      </c>
      <c r="M22" s="806">
        <f ca="1">INDIRECT("'数据-取费表'!Ak"&amp;$G$1)</f>
        <v>1.2999999999999999E-2</v>
      </c>
    </row>
    <row r="23" spans="1:33" s="1947" customFormat="1" ht="18" customHeight="1">
      <c r="A23" s="1576" t="s">
        <v>1821</v>
      </c>
      <c r="B23" s="774" t="s">
        <v>2420</v>
      </c>
      <c r="C23" s="53">
        <f ca="1">ROUND(IF('数据-取费表'!B22&lt;=1,(C19+C20)*F24*F23/2,(C19+C20)*(POWER((1+F24),F23/2)-1)),0)</f>
        <v>120</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3285"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3290"/>
      <c r="F25" s="56"/>
      <c r="G25" s="1945"/>
      <c r="H25" s="1744" t="s">
        <v>1766</v>
      </c>
      <c r="I25" s="2722" t="s">
        <v>2800</v>
      </c>
      <c r="J25" s="782">
        <f ca="1">J5-J16</f>
        <v>-346</v>
      </c>
      <c r="K25" s="2401" t="s">
        <v>1767</v>
      </c>
      <c r="L25" s="2402"/>
      <c r="M25" s="2403"/>
    </row>
    <row r="26" spans="1:33" ht="18" customHeight="1">
      <c r="A26" s="1576" t="s">
        <v>1821</v>
      </c>
      <c r="B26" s="774" t="s">
        <v>2421</v>
      </c>
      <c r="C26" s="53">
        <f ca="1">ROUND((C19+C20)*F26,0)</f>
        <v>413</v>
      </c>
      <c r="D26" s="801" t="s">
        <v>1768</v>
      </c>
      <c r="E26" s="785" t="s">
        <v>1769</v>
      </c>
      <c r="F26" s="784">
        <f ca="1">INDIRECT("'数据-取费表'!q"&amp;$G$1)</f>
        <v>0.15</v>
      </c>
      <c r="G26" s="1945"/>
      <c r="H26" s="2355" t="s">
        <v>1770</v>
      </c>
      <c r="I26" s="2112" t="s">
        <v>2805</v>
      </c>
      <c r="J26" s="773">
        <f ca="1">IF(J5&lt;&gt;0,ROUND(J25*(1-((1+M28)/(1+M26))^M27)/(M26-M28),0),0)</f>
        <v>0</v>
      </c>
      <c r="K26" s="803" t="s">
        <v>1771</v>
      </c>
      <c r="L26" s="774" t="s">
        <v>2403</v>
      </c>
      <c r="M26" s="784">
        <f ca="1">INDIRECT("'数据-取费表'!I"&amp;$G$1)</f>
        <v>5.5E-2</v>
      </c>
    </row>
    <row r="27" spans="1:33" ht="18" customHeight="1">
      <c r="A27" s="1576" t="s">
        <v>1822</v>
      </c>
      <c r="B27" s="774" t="s">
        <v>679</v>
      </c>
      <c r="C27" s="53">
        <f ca="1">ROUND(F21*F26,4)</f>
        <v>3.0000000000000001E-3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3560</v>
      </c>
      <c r="D29" s="2398"/>
      <c r="E29" s="2399"/>
      <c r="F29" s="2400"/>
      <c r="G29" s="3259"/>
      <c r="H29" s="812" t="s">
        <v>1777</v>
      </c>
      <c r="I29" s="813" t="s">
        <v>1778</v>
      </c>
      <c r="J29" s="814">
        <f ca="1">ROUND(J26/(1+F40)^F41,0)</f>
        <v>0</v>
      </c>
      <c r="K29" s="815" t="s">
        <v>1779</v>
      </c>
      <c r="L29" s="816"/>
      <c r="M29" s="817">
        <f ca="1">INDIRECT("'数据-取费表'!k"&amp;$G$1)</f>
        <v>8100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1739</v>
      </c>
      <c r="C30" s="782">
        <f ca="1">ROUND(C31+C36+C37+C38,0)</f>
        <v>310</v>
      </c>
      <c r="D30" s="1736" t="s">
        <v>1740</v>
      </c>
      <c r="E30" s="3288"/>
      <c r="F30" s="2344"/>
      <c r="G30" s="1945"/>
      <c r="H30" s="1948"/>
      <c r="I30" s="1949"/>
      <c r="J30" s="1950"/>
      <c r="K30" s="1951"/>
      <c r="L30" s="1952"/>
      <c r="M30" s="1953"/>
    </row>
    <row r="31" spans="1:33" ht="18" customHeight="1">
      <c r="A31" s="1577" t="s">
        <v>1814</v>
      </c>
      <c r="B31" s="774" t="s">
        <v>649</v>
      </c>
      <c r="C31" s="3018">
        <f ca="1">ROUND(IF(AND(项目基本情况!B11="自然人",项目基本情况!B10="北京市"),C6*F31/(1+'数据-取费表'!C42),C32+C33+C34),0)</f>
        <v>244</v>
      </c>
      <c r="D31" s="3286" t="s">
        <v>1743</v>
      </c>
      <c r="E31" s="3285" t="s">
        <v>1783</v>
      </c>
      <c r="F31" s="3017">
        <f ca="1">IF(项目基本情况!B11="企业","——",IF('数据-取费表'!B10="住宅",IF(F6*F7*F8/12/(1+'数据-取费表'!F30)&gt;100000,4%,2.5%),IF(F6*F7*F8/12/(1+'数据-取费表'!F30)&gt;100000,12%,7%)))</f>
        <v>0.12</v>
      </c>
      <c r="G31" s="1945"/>
      <c r="H31" s="3256" t="s">
        <v>2989</v>
      </c>
      <c r="I31" s="1949"/>
      <c r="J31" s="1950"/>
      <c r="K31" s="1951"/>
      <c r="L31" s="1952"/>
      <c r="M31" s="1953"/>
    </row>
    <row r="32" spans="1:33" ht="18" customHeight="1">
      <c r="A32" s="1576" t="s">
        <v>1821</v>
      </c>
      <c r="B32" s="774" t="s">
        <v>1745</v>
      </c>
      <c r="C32" s="53">
        <f ca="1">ROUND(C6*F32/(1+'数据-取费表'!C42),1)</f>
        <v>76.599999999999994</v>
      </c>
      <c r="D32" s="3285" t="s">
        <v>1746</v>
      </c>
      <c r="E32" s="774" t="s">
        <v>1775</v>
      </c>
      <c r="F32" s="799">
        <f>'数据-取费表'!B41</f>
        <v>5.5000000000000007E-2</v>
      </c>
      <c r="G32" s="1945"/>
      <c r="H32" s="1954"/>
      <c r="I32" s="1955"/>
      <c r="J32" s="1956"/>
      <c r="K32" s="1957"/>
      <c r="L32" s="1958"/>
      <c r="M32" s="1959"/>
    </row>
    <row r="33" spans="1:18" ht="18" customHeight="1">
      <c r="A33" s="1576" t="s">
        <v>1822</v>
      </c>
      <c r="B33" s="774" t="s">
        <v>1748</v>
      </c>
      <c r="C33" s="53">
        <f ca="1">IF(D33="按租金收入计税",ROUND(C6*F33/(1+'数据-取费表'!C42),1),IF(D33="按房产原值计税",ROUND(C29*F33*0.7,1),INDIRECT("'数据-取费表'!Aj"&amp;$G$1)))</f>
        <v>167.2</v>
      </c>
      <c r="D33" s="800" t="s">
        <v>3252</v>
      </c>
      <c r="E33" s="774" t="s">
        <v>1775</v>
      </c>
      <c r="F33" s="799">
        <f>IF(D33="按租金收入计税",'数据-取费表'!B51,'数据-取费表'!B50)</f>
        <v>0.12</v>
      </c>
      <c r="G33" s="1945"/>
      <c r="H33" s="1960"/>
      <c r="I33" s="1960"/>
      <c r="J33" s="1960"/>
      <c r="K33" s="1961"/>
      <c r="L33" s="1960"/>
      <c r="M33" s="1960"/>
    </row>
    <row r="34" spans="1:18" ht="18" customHeight="1">
      <c r="A34" s="1579" t="s">
        <v>1823</v>
      </c>
      <c r="B34" s="339" t="s">
        <v>1750</v>
      </c>
      <c r="C34" s="54">
        <f ca="1">ROUND(F34*F35/10000,1)</f>
        <v>0.6</v>
      </c>
      <c r="D34" s="803" t="s">
        <v>1751</v>
      </c>
      <c r="E34" s="774" t="s">
        <v>1752</v>
      </c>
      <c r="F34" s="632">
        <f>'数据-取费表'!B52</f>
        <v>3</v>
      </c>
      <c r="G34" s="1945"/>
      <c r="H34" s="1948"/>
      <c r="I34" s="824" t="s">
        <v>1803</v>
      </c>
      <c r="J34" s="825"/>
      <c r="K34" s="1963"/>
      <c r="L34" s="1962"/>
      <c r="M34" s="1962"/>
    </row>
    <row r="35" spans="1:18" ht="18" customHeight="1">
      <c r="A35" s="804"/>
      <c r="B35" s="783"/>
      <c r="C35" s="69"/>
      <c r="D35" s="805"/>
      <c r="E35" s="774" t="s">
        <v>1756</v>
      </c>
      <c r="F35" s="775">
        <f ca="1">INDIRECT("'数据-取费表'!r"&amp;$G$1)</f>
        <v>2137.59</v>
      </c>
      <c r="G35" s="1945"/>
      <c r="H35" s="1948"/>
      <c r="I35" s="826" t="s">
        <v>1804</v>
      </c>
      <c r="J35" s="827">
        <f ca="1">ROUND(C13*J36,0)</f>
        <v>303</v>
      </c>
      <c r="K35" s="1961"/>
      <c r="L35" s="1960"/>
      <c r="M35" s="1960"/>
    </row>
    <row r="36" spans="1:18" ht="18" customHeight="1">
      <c r="A36" s="1577" t="s">
        <v>1879</v>
      </c>
      <c r="B36" s="774" t="s">
        <v>1758</v>
      </c>
      <c r="C36" s="53">
        <f ca="1">ROUND(C29*F36,1)</f>
        <v>46.3</v>
      </c>
      <c r="D36" s="3285" t="s">
        <v>1793</v>
      </c>
      <c r="E36" s="774" t="s">
        <v>1775</v>
      </c>
      <c r="F36" s="806">
        <f ca="1">INDIRECT("'数据-取费表'!Ak"&amp;$G$1)</f>
        <v>1.2999999999999999E-2</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5.3</v>
      </c>
      <c r="D37" s="3285" t="s">
        <v>1761</v>
      </c>
      <c r="E37" s="774" t="s">
        <v>1775</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14.7</v>
      </c>
      <c r="D38" s="2398" t="s">
        <v>1764</v>
      </c>
      <c r="E38" s="2399" t="s">
        <v>1775</v>
      </c>
      <c r="F38" s="2395">
        <f ca="1">INDIRECT("'数据-取费表'!Am"&amp;$G$1)</f>
        <v>0.01</v>
      </c>
      <c r="G38" s="1945"/>
      <c r="H38" s="1960"/>
      <c r="I38" s="832" t="s">
        <v>1807</v>
      </c>
      <c r="J38" s="833"/>
      <c r="K38" s="1965"/>
      <c r="L38" s="1960"/>
      <c r="M38" s="1960"/>
    </row>
    <row r="39" spans="1:18" ht="24.6" customHeight="1" thickTop="1">
      <c r="A39" s="1744" t="s">
        <v>1766</v>
      </c>
      <c r="B39" s="2722" t="s">
        <v>2800</v>
      </c>
      <c r="C39" s="782">
        <f ca="1">C5-C30</f>
        <v>1155</v>
      </c>
      <c r="D39" s="2401" t="s">
        <v>1767</v>
      </c>
      <c r="E39" s="2402"/>
      <c r="F39" s="2403"/>
      <c r="G39" s="1945"/>
      <c r="H39" s="1960"/>
      <c r="I39" s="826" t="s">
        <v>1808</v>
      </c>
      <c r="J39" s="834">
        <f ca="1">ROUND(J35/C39,3)</f>
        <v>0.26200000000000001</v>
      </c>
      <c r="K39" s="1965"/>
      <c r="L39" s="1960"/>
      <c r="M39" s="1960"/>
    </row>
    <row r="40" spans="1:18" ht="18" customHeight="1">
      <c r="A40" s="771" t="s">
        <v>1770</v>
      </c>
      <c r="B40" s="2112" t="s">
        <v>2288</v>
      </c>
      <c r="C40" s="773">
        <f ca="1">ROUND(C39*(1-((1+F42)/(1+F40))^F41)/(F40-F42),0)</f>
        <v>28271</v>
      </c>
      <c r="D40" s="803" t="s">
        <v>1771</v>
      </c>
      <c r="E40" s="774" t="s">
        <v>2403</v>
      </c>
      <c r="F40" s="784">
        <f ca="1">INDIRECT("'数据-取费表'!I"&amp;$G$1)</f>
        <v>5.5E-2</v>
      </c>
      <c r="G40" s="1945"/>
      <c r="H40" s="1945"/>
      <c r="I40" s="826" t="s">
        <v>1809</v>
      </c>
      <c r="J40" s="834">
        <f ca="1">1-J39</f>
        <v>0.73799999999999999</v>
      </c>
      <c r="K40" s="1965"/>
      <c r="L40" s="1945"/>
      <c r="M40" s="1945"/>
    </row>
    <row r="41" spans="1:18" ht="18" customHeight="1">
      <c r="A41" s="776"/>
      <c r="B41" s="777"/>
      <c r="C41" s="778"/>
      <c r="D41" s="810" t="s">
        <v>1798</v>
      </c>
      <c r="E41" s="774" t="s">
        <v>1774</v>
      </c>
      <c r="F41" s="811">
        <f ca="1">IF(INDIRECT("'数据-取费表'!af"&amp;$G$1)=0,INDIRECT("'数据-取费表'!ae"&amp;$G$1),INDIRECT("'数据-取费表'!af"&amp;$G$1))</f>
        <v>39.47</v>
      </c>
      <c r="G41" s="1945"/>
      <c r="H41" s="1900"/>
      <c r="I41" s="832" t="s">
        <v>1810</v>
      </c>
      <c r="J41" s="835"/>
      <c r="K41" s="1964"/>
      <c r="L41" s="1900"/>
      <c r="M41" s="1900"/>
    </row>
    <row r="42" spans="1:18" ht="18" customHeight="1">
      <c r="A42" s="780"/>
      <c r="B42" s="781"/>
      <c r="C42" s="782"/>
      <c r="D42" s="805"/>
      <c r="E42" s="774" t="s">
        <v>1776</v>
      </c>
      <c r="F42" s="784">
        <f ca="1">INDIRECT("'数据-取费表'!v"&amp;$G$1)</f>
        <v>0.03</v>
      </c>
      <c r="G42" s="1945"/>
      <c r="H42" s="1900"/>
      <c r="I42" s="836" t="s">
        <v>1811</v>
      </c>
      <c r="J42" s="834">
        <f ca="1">ROUND(C13/C40,3)</f>
        <v>0.126</v>
      </c>
      <c r="K42" s="1964"/>
      <c r="L42" s="1900"/>
      <c r="M42" s="1900"/>
    </row>
    <row r="43" spans="1:18" ht="18" customHeight="1" thickBot="1">
      <c r="A43" s="812" t="s">
        <v>1777</v>
      </c>
      <c r="B43" s="813" t="s">
        <v>1800</v>
      </c>
      <c r="C43" s="814">
        <f ca="1">ROUND(C40*10000/F43,0)</f>
        <v>34902</v>
      </c>
      <c r="D43" s="815" t="s">
        <v>1801</v>
      </c>
      <c r="E43" s="816" t="s">
        <v>1802</v>
      </c>
      <c r="F43" s="817">
        <f ca="1">INDIRECT("'数据-取费表'!k"&amp;$G$1)</f>
        <v>8100</v>
      </c>
      <c r="G43" s="1945"/>
      <c r="H43" s="1900"/>
      <c r="I43" s="836" t="s">
        <v>1812</v>
      </c>
      <c r="J43" s="837">
        <f ca="1">1-J42</f>
        <v>0.874</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-29118</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8" t="s">
        <v>2329</v>
      </c>
      <c r="J48" s="2237" t="s">
        <v>2334</v>
      </c>
      <c r="K48" s="2808" t="s">
        <v>2335</v>
      </c>
      <c r="L48" s="1822">
        <f ca="1">INDIRECT("'数据-取费表'!f"&amp;$G$1)</f>
        <v>39.47</v>
      </c>
      <c r="M48" s="3261"/>
      <c r="O48" s="2253" t="s">
        <v>2363</v>
      </c>
      <c r="P48" s="2254" t="s">
        <v>2389</v>
      </c>
      <c r="Q48" s="2255">
        <f ca="1">C40+J29</f>
        <v>28271</v>
      </c>
      <c r="R48" s="2254" t="s">
        <v>2364</v>
      </c>
    </row>
    <row r="49" spans="1:18" s="1942" customFormat="1" ht="18" customHeight="1" thickBot="1">
      <c r="A49" s="776"/>
      <c r="B49" s="777"/>
      <c r="C49" s="778"/>
      <c r="D49" s="779"/>
      <c r="E49" s="774" t="s">
        <v>1729</v>
      </c>
      <c r="F49" s="775">
        <f ca="1">F7</f>
        <v>8100</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8" t="s">
        <v>2331</v>
      </c>
      <c r="J50" s="2805">
        <f>SUMPRODUCT((I63:I65=J47)*(J62:L62=J48)*(J63:L65))</f>
        <v>60</v>
      </c>
      <c r="K50" s="2809" t="s">
        <v>2337</v>
      </c>
      <c r="L50" s="2239"/>
      <c r="M50" s="3261"/>
      <c r="O50" s="2256" t="s">
        <v>2367</v>
      </c>
      <c r="P50" s="2254" t="s">
        <v>2391</v>
      </c>
      <c r="Q50" s="2255">
        <f ca="1">C29</f>
        <v>3560</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16135</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2932</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39.47</v>
      </c>
      <c r="K53" s="3564" t="s">
        <v>2925</v>
      </c>
      <c r="L53" s="3565"/>
      <c r="M53" s="3261"/>
      <c r="O53" s="2256" t="s">
        <v>2372</v>
      </c>
      <c r="P53" s="2254" t="s">
        <v>2373</v>
      </c>
      <c r="Q53" s="2255">
        <f ca="1">J53</f>
        <v>39.47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28271</v>
      </c>
      <c r="R54" s="2258" t="s">
        <v>2376</v>
      </c>
    </row>
    <row r="55" spans="1:18" s="1942" customFormat="1" ht="18" customHeight="1" thickTop="1" thickBot="1">
      <c r="A55" s="787">
        <v>2</v>
      </c>
      <c r="B55" s="788" t="s">
        <v>637</v>
      </c>
      <c r="C55" s="789">
        <f ca="1">C13</f>
        <v>3560</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2287</v>
      </c>
      <c r="C56" s="53">
        <f ca="1">C29</f>
        <v>3560</v>
      </c>
      <c r="D56" s="3285"/>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53</v>
      </c>
      <c r="D57" s="26" t="s">
        <v>1740</v>
      </c>
      <c r="E57" s="3290"/>
      <c r="F57" s="56"/>
      <c r="I57" s="2818" t="s">
        <v>2342</v>
      </c>
      <c r="J57" s="2819" t="str">
        <f ca="1">IF(OR(M47="住宅",J51&lt;L48,J56="是"),"——",J51-L48)</f>
        <v>——</v>
      </c>
      <c r="K57" s="2798" t="s">
        <v>2347</v>
      </c>
      <c r="L57" s="1822" t="str">
        <f ca="1">IF(L48&lt;J51,"——",IF(L55="比较法",L49,IF(L55="基准地价",L50,L51)))</f>
        <v>——</v>
      </c>
      <c r="M57" s="3261"/>
      <c r="O57" s="2253" t="s">
        <v>2363</v>
      </c>
      <c r="P57" s="2254" t="s">
        <v>2389</v>
      </c>
      <c r="Q57" s="2255">
        <f ca="1">C40+J29</f>
        <v>28271</v>
      </c>
      <c r="R57" s="2254" t="s">
        <v>2364</v>
      </c>
    </row>
    <row r="58" spans="1:18" s="1942" customFormat="1" ht="28.5" customHeight="1" thickBot="1">
      <c r="A58" s="1577" t="s">
        <v>1814</v>
      </c>
      <c r="B58" s="774" t="s">
        <v>649</v>
      </c>
      <c r="C58" s="3018">
        <f ca="1">ROUND(IF(AND(项目基本情况!B11="自然人",项目基本情况!B10="北京市"),C48*F58/(1+'数据-取费表'!C42),C59+C60+C61),0)</f>
        <v>1</v>
      </c>
      <c r="D58" s="3286" t="s">
        <v>650</v>
      </c>
      <c r="E58" s="3285"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3285"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3285"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0.6</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2137.59</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46.3</v>
      </c>
      <c r="D63" s="3285" t="s">
        <v>1793</v>
      </c>
      <c r="E63" s="774" t="s">
        <v>1737</v>
      </c>
      <c r="F63" s="806">
        <f t="shared" ca="1" si="0"/>
        <v>1.2999999999999999E-2</v>
      </c>
      <c r="I63" s="2823" t="s">
        <v>2354</v>
      </c>
      <c r="J63" s="2824">
        <v>70</v>
      </c>
      <c r="K63" s="2824">
        <v>50</v>
      </c>
      <c r="L63" s="2824">
        <v>80</v>
      </c>
      <c r="M63" s="2826">
        <v>0.02</v>
      </c>
      <c r="O63" s="2253" t="s">
        <v>2375</v>
      </c>
      <c r="P63" s="2254" t="s">
        <v>2392</v>
      </c>
      <c r="Q63" s="2255">
        <f ca="1">Q57+Q58</f>
        <v>28271</v>
      </c>
      <c r="R63" s="2258" t="s">
        <v>2376</v>
      </c>
    </row>
    <row r="64" spans="1:18" s="1942" customFormat="1" ht="16.5" thickBot="1">
      <c r="A64" s="1577" t="s">
        <v>1880</v>
      </c>
      <c r="B64" s="774" t="s">
        <v>672</v>
      </c>
      <c r="C64" s="53">
        <f ca="1">ROUND(C55*F64,1)</f>
        <v>5.3</v>
      </c>
      <c r="D64" s="3285"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3285"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-53</v>
      </c>
      <c r="D66" s="3286" t="s">
        <v>693</v>
      </c>
      <c r="E66" s="3289"/>
      <c r="F66" s="809"/>
      <c r="K66" s="1968"/>
      <c r="O66" s="2253" t="s">
        <v>2363</v>
      </c>
      <c r="P66" s="2254" t="s">
        <v>2389</v>
      </c>
      <c r="Q66" s="2255">
        <f ca="1">C40+J29</f>
        <v>28271</v>
      </c>
      <c r="R66" s="2254" t="s">
        <v>2364</v>
      </c>
    </row>
    <row r="67" spans="1:18" s="1942" customFormat="1" ht="20.25" thickBot="1">
      <c r="A67" s="771" t="s">
        <v>1770</v>
      </c>
      <c r="B67" s="2112" t="s">
        <v>2288</v>
      </c>
      <c r="C67" s="773">
        <f ca="1">ROUND(C66*(1-((1+F69)/(1+F67))^F68)/(F67-F69),0)</f>
        <v>-847</v>
      </c>
      <c r="D67" s="803" t="s">
        <v>697</v>
      </c>
      <c r="E67" s="774" t="s">
        <v>698</v>
      </c>
      <c r="F67" s="784">
        <f ca="1">F40</f>
        <v>5.5E-2</v>
      </c>
      <c r="K67" s="1968"/>
      <c r="O67" s="2253" t="s">
        <v>2365</v>
      </c>
      <c r="P67" s="2254" t="s">
        <v>2396</v>
      </c>
      <c r="Q67" s="2255">
        <f ca="1">L60</f>
        <v>0</v>
      </c>
      <c r="R67" s="2258" t="s">
        <v>2398</v>
      </c>
    </row>
    <row r="68" spans="1:18" ht="21.75" thickBot="1">
      <c r="A68" s="776"/>
      <c r="B68" s="777"/>
      <c r="C68" s="778"/>
      <c r="D68" s="810" t="s">
        <v>1798</v>
      </c>
      <c r="E68" s="774" t="s">
        <v>1774</v>
      </c>
      <c r="F68" s="811">
        <f ca="1">F41</f>
        <v>39.47</v>
      </c>
      <c r="O68" s="2256" t="s">
        <v>2367</v>
      </c>
      <c r="P68" s="2254" t="s">
        <v>2397</v>
      </c>
      <c r="Q68" s="2260">
        <f ca="1">L51</f>
        <v>16135</v>
      </c>
      <c r="R68" s="2261" t="s">
        <v>2400</v>
      </c>
    </row>
    <row r="69" spans="1:18" ht="20.25" thickBot="1">
      <c r="A69" s="780"/>
      <c r="B69" s="781"/>
      <c r="C69" s="782"/>
      <c r="D69" s="805"/>
      <c r="E69" s="774" t="s">
        <v>703</v>
      </c>
      <c r="F69" s="2226"/>
      <c r="O69" s="2256" t="s">
        <v>2368</v>
      </c>
      <c r="P69" s="2262" t="s">
        <v>2382</v>
      </c>
      <c r="Q69" s="2255">
        <f ca="1">ROUND(Q70-Q71*Q72,0)</f>
        <v>852</v>
      </c>
      <c r="R69" s="2258"/>
    </row>
    <row r="70" spans="1:18" ht="15.75" thickBot="1">
      <c r="A70" s="812" t="s">
        <v>1777</v>
      </c>
      <c r="B70" s="813" t="s">
        <v>1800</v>
      </c>
      <c r="C70" s="814">
        <f ca="1">ROUND(C67*10000/F70,0)</f>
        <v>-1046</v>
      </c>
      <c r="D70" s="815" t="s">
        <v>1801</v>
      </c>
      <c r="E70" s="816" t="s">
        <v>1802</v>
      </c>
      <c r="F70" s="817">
        <f ca="1">F43</f>
        <v>8100</v>
      </c>
      <c r="O70" s="2256" t="s">
        <v>2383</v>
      </c>
      <c r="P70" s="2262" t="s">
        <v>2384</v>
      </c>
      <c r="Q70" s="2255">
        <f ca="1">C39</f>
        <v>1155</v>
      </c>
      <c r="R70" s="2254" t="s">
        <v>2364</v>
      </c>
    </row>
    <row r="71" spans="1:18" ht="15.75" thickBot="1">
      <c r="O71" s="2256" t="s">
        <v>2385</v>
      </c>
      <c r="P71" s="2262" t="s">
        <v>2386</v>
      </c>
      <c r="Q71" s="2255">
        <f ca="1">C13</f>
        <v>3560</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28271</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X50" sqref="X5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3243</v>
      </c>
      <c r="D1" s="2797" t="s">
        <v>942</v>
      </c>
      <c r="E1" s="2242" t="s">
        <v>2358</v>
      </c>
      <c r="F1" s="2243">
        <f ca="1">J53</f>
        <v>49.47</v>
      </c>
      <c r="G1" s="3257">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8095</v>
      </c>
      <c r="C2" s="3262"/>
      <c r="D2" s="3263"/>
      <c r="E2" s="3264"/>
      <c r="F2" s="3264"/>
      <c r="G2" s="3258"/>
      <c r="H2" s="1940"/>
      <c r="I2" s="1940"/>
      <c r="J2" s="1940"/>
      <c r="K2" s="1941"/>
      <c r="L2" s="1940"/>
      <c r="M2" s="1940"/>
    </row>
    <row r="3" spans="1:33" ht="18" customHeight="1" thickBot="1">
      <c r="A3" s="822" t="s">
        <v>1717</v>
      </c>
      <c r="B3" s="823">
        <f ca="1">IF(ISERROR(B2*10000/F43),0,ROUND(B2*10000/F43,0))</f>
        <v>2611</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542</v>
      </c>
      <c r="D5" s="2349" t="s">
        <v>2441</v>
      </c>
      <c r="E5" s="2343"/>
      <c r="F5" s="2344"/>
      <c r="G5" s="1945"/>
      <c r="H5" s="771">
        <v>1</v>
      </c>
      <c r="I5" s="772" t="s">
        <v>2438</v>
      </c>
      <c r="J5" s="55">
        <f ca="1">J6+J10+J12</f>
        <v>0</v>
      </c>
      <c r="K5" s="2349" t="s">
        <v>2441</v>
      </c>
      <c r="L5" s="2343"/>
      <c r="M5" s="2344"/>
    </row>
    <row r="6" spans="1:33" ht="18" customHeight="1">
      <c r="A6" s="1745" t="s">
        <v>1814</v>
      </c>
      <c r="B6" s="3558" t="s">
        <v>2443</v>
      </c>
      <c r="C6" s="773">
        <f ca="1">ROUND(F6*F8*F7*(1-F9)/10000,0)</f>
        <v>542</v>
      </c>
      <c r="D6" s="2350" t="s">
        <v>2442</v>
      </c>
      <c r="E6" s="774" t="s">
        <v>1728</v>
      </c>
      <c r="F6" s="775">
        <f ca="1">INDIRECT("'数据-取费表'!u"&amp;$G$1)</f>
        <v>850</v>
      </c>
      <c r="G6" s="1945"/>
      <c r="H6" s="2357" t="s">
        <v>2448</v>
      </c>
      <c r="I6" s="3558" t="s">
        <v>2443</v>
      </c>
      <c r="J6" s="773">
        <f ca="1">ROUND(M6*M8*M7*(1-M9)/10000,0)</f>
        <v>0</v>
      </c>
      <c r="K6" s="339" t="s">
        <v>1727</v>
      </c>
      <c r="L6" s="774" t="s">
        <v>1728</v>
      </c>
      <c r="M6" s="775">
        <f ca="1">INDIRECT("'数据-取费表'!z"&amp;$G$1)</f>
        <v>0</v>
      </c>
    </row>
    <row r="7" spans="1:33" ht="18" customHeight="1">
      <c r="A7" s="2353"/>
      <c r="B7" s="3559"/>
      <c r="C7" s="778"/>
      <c r="D7" s="779"/>
      <c r="E7" s="774" t="s">
        <v>1729</v>
      </c>
      <c r="F7" s="775">
        <f ca="1">IF(INDIRECT("'数据-取费表'!ah"&amp;$G$1)="",INDIRECT("'数据-取费表'!k"&amp;$G$1),INDIRECT("'数据-取费表'!ah"&amp;$G$1))</f>
        <v>590</v>
      </c>
      <c r="G7" s="1945"/>
      <c r="H7" s="2342"/>
      <c r="I7" s="3559"/>
      <c r="J7" s="778"/>
      <c r="K7" s="779"/>
      <c r="L7" s="774" t="s">
        <v>1729</v>
      </c>
      <c r="M7" s="775">
        <f ca="1">F7</f>
        <v>590</v>
      </c>
    </row>
    <row r="8" spans="1:33" ht="18" customHeight="1">
      <c r="A8" s="2346"/>
      <c r="B8" s="3560"/>
      <c r="C8" s="778"/>
      <c r="D8" s="779"/>
      <c r="E8" s="774" t="s">
        <v>1730</v>
      </c>
      <c r="F8" s="775">
        <f ca="1">INDIRECT("'数据-取费表'!ai"&amp;$G$1)</f>
        <v>12</v>
      </c>
      <c r="G8" s="1945"/>
      <c r="H8" s="2342"/>
      <c r="I8" s="3560"/>
      <c r="J8" s="778"/>
      <c r="K8" s="779"/>
      <c r="L8" s="774" t="s">
        <v>1730</v>
      </c>
      <c r="M8" s="775">
        <f ca="1">INDIRECT("'数据-取费表'!ai"&amp;$G$1)</f>
        <v>12</v>
      </c>
    </row>
    <row r="9" spans="1:33" ht="18" customHeight="1">
      <c r="A9" s="776"/>
      <c r="B9" s="3561"/>
      <c r="C9" s="778"/>
      <c r="D9" s="779"/>
      <c r="E9" s="774" t="s">
        <v>1731</v>
      </c>
      <c r="F9" s="784">
        <f ca="1">INDIRECT("'数据-取费表'!w"&amp;$G$1)</f>
        <v>0.1</v>
      </c>
      <c r="G9" s="1945"/>
      <c r="H9" s="2358"/>
      <c r="I9" s="3560"/>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t="s">
        <v>3266</v>
      </c>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12458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638</v>
      </c>
      <c r="C14" s="794">
        <f ca="1">INDIRECT("'数据-取费表'!m"&amp;$G$1)+INDIRECT("'数据-取费表'!t"&amp;$G$1)</f>
        <v>9300</v>
      </c>
      <c r="D14" s="1893" t="s">
        <v>1735</v>
      </c>
      <c r="E14" s="1894"/>
      <c r="F14" s="795"/>
      <c r="G14" s="1945"/>
      <c r="H14" s="1577" t="s">
        <v>1820</v>
      </c>
      <c r="I14" s="2111" t="s">
        <v>2804</v>
      </c>
      <c r="J14" s="53">
        <f ca="1">C29</f>
        <v>12458</v>
      </c>
      <c r="K14" s="26"/>
      <c r="L14" s="791"/>
      <c r="M14" s="792"/>
    </row>
    <row r="15" spans="1:33" s="1947" customFormat="1" ht="18" customHeight="1" thickBot="1">
      <c r="A15" s="1576" t="s">
        <v>1875</v>
      </c>
      <c r="B15" s="774" t="s">
        <v>640</v>
      </c>
      <c r="C15" s="53">
        <f ca="1">ROUND(C14*F15,0)</f>
        <v>279</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1211</v>
      </c>
      <c r="K16" s="1736" t="s">
        <v>1740</v>
      </c>
      <c r="L16" s="2339"/>
      <c r="M16" s="2344"/>
    </row>
    <row r="17" spans="1:33" s="1947" customFormat="1" ht="18" customHeight="1">
      <c r="A17" s="1576" t="s">
        <v>1877</v>
      </c>
      <c r="B17" s="774" t="s">
        <v>646</v>
      </c>
      <c r="C17" s="53">
        <f ca="1">ROUND(F17*(F43+INDIRECT("'数据-取费表'!S"&amp;$G$1))/10000,0)</f>
        <v>620</v>
      </c>
      <c r="D17" s="774" t="s">
        <v>1741</v>
      </c>
      <c r="E17" s="774" t="s">
        <v>1742</v>
      </c>
      <c r="F17" s="56">
        <f>'数据-取费表'!B35</f>
        <v>200</v>
      </c>
      <c r="G17" s="3259"/>
      <c r="H17" s="1577" t="s">
        <v>1820</v>
      </c>
      <c r="I17" s="774" t="s">
        <v>649</v>
      </c>
      <c r="J17" s="3018">
        <f ca="1">ROUND(IF(AND(项目基本情况!B11="自然人",项目基本情况!B10="北京市"),J6*M17/(1+'数据-取费表'!C42),J18+J19+J20),0)</f>
        <v>1049</v>
      </c>
      <c r="K17" s="2338" t="s">
        <v>1743</v>
      </c>
      <c r="L17" s="2337"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140</v>
      </c>
      <c r="D18" s="774" t="s">
        <v>1736</v>
      </c>
      <c r="E18" s="774" t="s">
        <v>1737</v>
      </c>
      <c r="F18" s="799">
        <f>'数据-取费表'!B36</f>
        <v>1.4999999999999999E-2</v>
      </c>
      <c r="G18" s="3259"/>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655</v>
      </c>
      <c r="C19" s="53">
        <f ca="1">SUM(C14:C18)</f>
        <v>10339</v>
      </c>
      <c r="D19" s="259" t="s">
        <v>1747</v>
      </c>
      <c r="E19" s="1896"/>
      <c r="F19" s="56"/>
      <c r="G19" s="1945"/>
      <c r="H19" s="1576" t="s">
        <v>1875</v>
      </c>
      <c r="I19" s="774" t="s">
        <v>1748</v>
      </c>
      <c r="J19" s="53">
        <f ca="1">IF(K19="按租金收入计税",ROUND(J6*M19/(1+'数据-取费表'!C42),1),ROUND(C29*F33*0.7,1))</f>
        <v>1046.5</v>
      </c>
      <c r="K19" s="800" t="s">
        <v>658</v>
      </c>
      <c r="L19" s="774" t="s">
        <v>1737</v>
      </c>
      <c r="M19" s="799">
        <f>IF(K19="按租金收入计税",'数据-取费表'!B51,'数据-取费表'!B50)</f>
        <v>1.2E-2</v>
      </c>
    </row>
    <row r="20" spans="1:33" s="1947" customFormat="1" ht="18" customHeight="1">
      <c r="A20" s="1577" t="s">
        <v>1879</v>
      </c>
      <c r="B20" s="774" t="s">
        <v>659</v>
      </c>
      <c r="C20" s="53">
        <f ca="1">ROUND(C19*F20,0)</f>
        <v>207</v>
      </c>
      <c r="D20" s="801" t="s">
        <v>1749</v>
      </c>
      <c r="E20" s="774" t="s">
        <v>1737</v>
      </c>
      <c r="F20" s="799">
        <f>'数据-取费表'!B37</f>
        <v>0.02</v>
      </c>
      <c r="G20" s="3259"/>
      <c r="H20" s="1579" t="s">
        <v>1870</v>
      </c>
      <c r="I20" s="339" t="s">
        <v>1750</v>
      </c>
      <c r="J20" s="54">
        <f ca="1">ROUND(M20*M21/10000,0)</f>
        <v>2</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8180.9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162</v>
      </c>
      <c r="K22" s="2337" t="s">
        <v>1759</v>
      </c>
      <c r="L22" s="774" t="s">
        <v>1737</v>
      </c>
      <c r="M22" s="806">
        <f ca="1">INDIRECT("'数据-取费表'!Ak"&amp;$G$1)</f>
        <v>1.2999999999999999E-2</v>
      </c>
    </row>
    <row r="23" spans="1:33" s="1947" customFormat="1" ht="18" customHeight="1">
      <c r="A23" s="1576" t="s">
        <v>1821</v>
      </c>
      <c r="B23" s="774" t="s">
        <v>2515</v>
      </c>
      <c r="C23" s="53">
        <f ca="1">ROUND(IF('数据-取费表'!B22&lt;=1,(C19+C20)*F24*F23/2,(C19+C20)*(POWER((1+F24),F23/2)-1)),0)</f>
        <v>459</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1896"/>
      <c r="F25" s="56"/>
      <c r="G25" s="1945"/>
      <c r="H25" s="1744" t="s">
        <v>1766</v>
      </c>
      <c r="I25" s="2722" t="s">
        <v>2800</v>
      </c>
      <c r="J25" s="782">
        <f ca="1">J5-J16</f>
        <v>-1211</v>
      </c>
      <c r="K25" s="2401" t="s">
        <v>1767</v>
      </c>
      <c r="L25" s="2402"/>
      <c r="M25" s="2403"/>
    </row>
    <row r="26" spans="1:33" ht="18" customHeight="1">
      <c r="A26" s="1576" t="s">
        <v>1821</v>
      </c>
      <c r="B26" s="774" t="s">
        <v>2421</v>
      </c>
      <c r="C26" s="53">
        <f ca="1">ROUND((C19+C20)*F26,0)</f>
        <v>527</v>
      </c>
      <c r="D26" s="801" t="s">
        <v>1768</v>
      </c>
      <c r="E26" s="785" t="s">
        <v>1769</v>
      </c>
      <c r="F26" s="784">
        <f ca="1">INDIRECT("'数据-取费表'!q"&amp;$G$1)</f>
        <v>0.05</v>
      </c>
      <c r="G26" s="1945"/>
      <c r="H26" s="2355" t="s">
        <v>1770</v>
      </c>
      <c r="I26" s="2112" t="s">
        <v>2805</v>
      </c>
      <c r="J26" s="773">
        <f ca="1">IF(J5&lt;&gt;0,ROUND(J25*(1-((1+M28)/(1+M26))^M27)/(M26-M28),0),0)</f>
        <v>0</v>
      </c>
      <c r="K26" s="803" t="s">
        <v>1771</v>
      </c>
      <c r="L26" s="774" t="s">
        <v>2403</v>
      </c>
      <c r="M26" s="784">
        <f ca="1">INDIRECT("'数据-取费表'!I"&amp;$G$1)</f>
        <v>4.4999999999999998E-2</v>
      </c>
    </row>
    <row r="27" spans="1:33" ht="18" customHeight="1">
      <c r="A27" s="1576" t="s">
        <v>1822</v>
      </c>
      <c r="B27" s="774" t="s">
        <v>679</v>
      </c>
      <c r="C27" s="53">
        <f ca="1">ROUND(F21*F26,4)</f>
        <v>1E-3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12458</v>
      </c>
      <c r="D29" s="2398"/>
      <c r="E29" s="2399"/>
      <c r="F29" s="2400"/>
      <c r="G29" s="3259"/>
      <c r="H29" s="812" t="s">
        <v>1777</v>
      </c>
      <c r="I29" s="813" t="s">
        <v>1778</v>
      </c>
      <c r="J29" s="814">
        <f ca="1">ROUND(J26/(1+F40)^F41,0)</f>
        <v>0</v>
      </c>
      <c r="K29" s="815" t="s">
        <v>1779</v>
      </c>
      <c r="L29" s="816"/>
      <c r="M29" s="817">
        <f ca="1">INDIRECT("'数据-取费表'!k"&amp;$G$1)</f>
        <v>31000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279</v>
      </c>
      <c r="D30" s="1736" t="s">
        <v>1781</v>
      </c>
      <c r="E30" s="2339"/>
      <c r="F30" s="2344"/>
      <c r="G30" s="1945"/>
      <c r="H30" s="1948"/>
      <c r="I30" s="1949"/>
      <c r="J30" s="1950"/>
      <c r="K30" s="1951"/>
      <c r="L30" s="1952"/>
      <c r="M30" s="1953"/>
    </row>
    <row r="31" spans="1:33" ht="18" customHeight="1">
      <c r="A31" s="1577" t="s">
        <v>1820</v>
      </c>
      <c r="B31" s="774" t="s">
        <v>649</v>
      </c>
      <c r="C31" s="3018">
        <f ca="1">ROUND(IF(AND(项目基本情况!B11="自然人",项目基本情况!B10="北京市"),C6*F31/(1+'数据-取费表'!C42),C32+C33+C34),0)</f>
        <v>93</v>
      </c>
      <c r="D31" s="1893" t="s">
        <v>1782</v>
      </c>
      <c r="E31" s="1891" t="s">
        <v>1783</v>
      </c>
      <c r="F31" s="3017">
        <f ca="1">IF(项目基本情况!B11="企业","——",IF('数据-取费表'!B10="住宅",IF(F6*F7*F8/12/(1+'数据-取费表'!F30)&gt;100000,4%,2.5%),IF(F6*F7*F8/12/(1+'数据-取费表'!F30)&gt;100000,12%,7%)))</f>
        <v>0.12</v>
      </c>
      <c r="G31" s="1945"/>
      <c r="H31" s="3256" t="s">
        <v>2990</v>
      </c>
      <c r="I31" s="1949"/>
      <c r="J31" s="1950"/>
      <c r="K31" s="1951"/>
      <c r="L31" s="1952"/>
      <c r="M31" s="1953"/>
    </row>
    <row r="32" spans="1:33" ht="18" customHeight="1">
      <c r="A32" s="1576" t="s">
        <v>1821</v>
      </c>
      <c r="B32" s="774" t="s">
        <v>1784</v>
      </c>
      <c r="C32" s="53">
        <f ca="1">ROUND(C6*F32/(1+'数据-取费表'!C42),1)</f>
        <v>28.4</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61.9</v>
      </c>
      <c r="D33" s="800" t="s">
        <v>3252</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2.5</v>
      </c>
      <c r="D34" s="803" t="s">
        <v>1789</v>
      </c>
      <c r="E34" s="774" t="s">
        <v>1790</v>
      </c>
      <c r="F34" s="632">
        <f>'数据-取费表'!B52</f>
        <v>3</v>
      </c>
      <c r="G34" s="1945"/>
      <c r="H34" s="1948"/>
      <c r="I34" s="824" t="s">
        <v>1803</v>
      </c>
      <c r="J34" s="825"/>
      <c r="K34" s="1963"/>
      <c r="L34" s="1962"/>
      <c r="M34" s="1962"/>
    </row>
    <row r="35" spans="1:18" ht="18" customHeight="1">
      <c r="A35" s="804"/>
      <c r="B35" s="783"/>
      <c r="C35" s="69"/>
      <c r="D35" s="805"/>
      <c r="E35" s="774" t="s">
        <v>1791</v>
      </c>
      <c r="F35" s="775">
        <f ca="1">INDIRECT("'数据-取费表'!r"&amp;$G$1)</f>
        <v>8180.9</v>
      </c>
      <c r="G35" s="1945"/>
      <c r="H35" s="1948"/>
      <c r="I35" s="826" t="s">
        <v>1804</v>
      </c>
      <c r="J35" s="827">
        <f ca="1">ROUND(C13*J36,0)</f>
        <v>1059</v>
      </c>
      <c r="K35" s="1961"/>
      <c r="L35" s="1960"/>
      <c r="M35" s="1960"/>
    </row>
    <row r="36" spans="1:18" ht="18" customHeight="1">
      <c r="A36" s="1577" t="s">
        <v>1879</v>
      </c>
      <c r="B36" s="774" t="s">
        <v>1792</v>
      </c>
      <c r="C36" s="53">
        <f ca="1">ROUND(C29*F36,1)</f>
        <v>162</v>
      </c>
      <c r="D36" s="1891" t="s">
        <v>1793</v>
      </c>
      <c r="E36" s="774" t="s">
        <v>1786</v>
      </c>
      <c r="F36" s="806">
        <f ca="1">INDIRECT("'数据-取费表'!Ak"&amp;$G$1)</f>
        <v>1.2999999999999999E-2</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18.7</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5.4</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2" t="s">
        <v>2800</v>
      </c>
      <c r="C39" s="782">
        <f ca="1">C5-C30</f>
        <v>263</v>
      </c>
      <c r="D39" s="2401" t="s">
        <v>1796</v>
      </c>
      <c r="E39" s="2402"/>
      <c r="F39" s="2403"/>
      <c r="G39" s="1945"/>
      <c r="H39" s="1960"/>
      <c r="I39" s="826" t="s">
        <v>1808</v>
      </c>
      <c r="J39" s="834">
        <f ca="1">ROUND(J35/C39,3)</f>
        <v>4.0270000000000001</v>
      </c>
      <c r="K39" s="1965"/>
      <c r="L39" s="1960"/>
      <c r="M39" s="1960"/>
    </row>
    <row r="40" spans="1:18" ht="18" customHeight="1">
      <c r="A40" s="771" t="s">
        <v>1885</v>
      </c>
      <c r="B40" s="2112" t="s">
        <v>2288</v>
      </c>
      <c r="C40" s="773">
        <f ca="1">ROUND(C39*(1-((1+F42)/(1+F40))^F41)/(F40-F42),0)</f>
        <v>8095</v>
      </c>
      <c r="D40" s="803" t="s">
        <v>1797</v>
      </c>
      <c r="E40" s="774" t="s">
        <v>2403</v>
      </c>
      <c r="F40" s="784">
        <f ca="1">INDIRECT("'数据-取费表'!I"&amp;$G$1)</f>
        <v>4.4999999999999998E-2</v>
      </c>
      <c r="G40" s="1945"/>
      <c r="H40" s="1945"/>
      <c r="I40" s="826" t="s">
        <v>1809</v>
      </c>
      <c r="J40" s="834">
        <f ca="1">1-J39</f>
        <v>-3.0270000000000001</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49.47</v>
      </c>
      <c r="G41" s="1945"/>
      <c r="H41" s="1900"/>
      <c r="I41" s="832" t="s">
        <v>1810</v>
      </c>
      <c r="J41" s="835"/>
      <c r="K41" s="1964"/>
      <c r="L41" s="1900"/>
      <c r="M41" s="1900"/>
    </row>
    <row r="42" spans="1:18" ht="18" customHeight="1">
      <c r="A42" s="780"/>
      <c r="B42" s="781"/>
      <c r="C42" s="782"/>
      <c r="D42" s="805"/>
      <c r="E42" s="774" t="s">
        <v>1799</v>
      </c>
      <c r="F42" s="784">
        <f ca="1">INDIRECT("'数据-取费表'!v"&amp;$G$1)</f>
        <v>2.5000000000000001E-2</v>
      </c>
      <c r="G42" s="1945"/>
      <c r="H42" s="1900"/>
      <c r="I42" s="836" t="s">
        <v>1811</v>
      </c>
      <c r="J42" s="834">
        <f ca="1">ROUND(C13/C40,3)</f>
        <v>1.5389999999999999</v>
      </c>
      <c r="K42" s="1964"/>
      <c r="L42" s="1900"/>
      <c r="M42" s="1900"/>
    </row>
    <row r="43" spans="1:18" ht="18" customHeight="1" thickBot="1">
      <c r="A43" s="812" t="s">
        <v>1777</v>
      </c>
      <c r="B43" s="813" t="s">
        <v>1800</v>
      </c>
      <c r="C43" s="814">
        <f ca="1">ROUND(C40*10000/F43,0)</f>
        <v>2611</v>
      </c>
      <c r="D43" s="815" t="s">
        <v>1801</v>
      </c>
      <c r="E43" s="816" t="s">
        <v>1802</v>
      </c>
      <c r="F43" s="817">
        <f ca="1">INDIRECT("'数据-取费表'!k"&amp;$G$1)</f>
        <v>31000</v>
      </c>
      <c r="G43" s="1945"/>
      <c r="H43" s="1900"/>
      <c r="I43" s="836" t="s">
        <v>1812</v>
      </c>
      <c r="J43" s="837">
        <f ca="1">1-J42</f>
        <v>-0.53899999999999992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-11721</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629</v>
      </c>
      <c r="E48" s="2231" t="s">
        <v>2283</v>
      </c>
      <c r="F48" s="2232"/>
      <c r="G48" s="1972"/>
      <c r="I48" s="2798" t="s">
        <v>2329</v>
      </c>
      <c r="J48" s="2237" t="s">
        <v>2334</v>
      </c>
      <c r="K48" s="2808" t="s">
        <v>2335</v>
      </c>
      <c r="L48" s="1822">
        <f ca="1">INDIRECT("'数据-取费表'!f"&amp;$G$1)</f>
        <v>49.47</v>
      </c>
      <c r="M48" s="3261"/>
      <c r="O48" s="2253" t="s">
        <v>2363</v>
      </c>
      <c r="P48" s="2254" t="s">
        <v>2389</v>
      </c>
      <c r="Q48" s="2255">
        <f ca="1">C40+J29</f>
        <v>8095</v>
      </c>
      <c r="R48" s="2254" t="s">
        <v>2364</v>
      </c>
    </row>
    <row r="49" spans="1:18" s="1942" customFormat="1" ht="18" customHeight="1" thickBot="1">
      <c r="A49" s="776"/>
      <c r="B49" s="777"/>
      <c r="C49" s="778"/>
      <c r="D49" s="779"/>
      <c r="E49" s="774" t="s">
        <v>1729</v>
      </c>
      <c r="F49" s="775">
        <f ca="1">F7</f>
        <v>590</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12</v>
      </c>
      <c r="G50" s="1977"/>
      <c r="H50" s="1975"/>
      <c r="I50" s="2798" t="s">
        <v>2331</v>
      </c>
      <c r="J50" s="2805">
        <f>SUMPRODUCT((I63:I65=J47)*(J62:L62=J48)*(J63:L65))</f>
        <v>60</v>
      </c>
      <c r="K50" s="2809" t="s">
        <v>2337</v>
      </c>
      <c r="L50" s="2239"/>
      <c r="M50" s="3261"/>
      <c r="O50" s="2256" t="s">
        <v>2367</v>
      </c>
      <c r="P50" s="2254" t="s">
        <v>2391</v>
      </c>
      <c r="Q50" s="2255">
        <f ca="1">C29</f>
        <v>12458</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-18007</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49.47</v>
      </c>
      <c r="K53" s="3564" t="s">
        <v>2925</v>
      </c>
      <c r="L53" s="3565"/>
      <c r="M53" s="3261"/>
      <c r="O53" s="2256" t="s">
        <v>2372</v>
      </c>
      <c r="P53" s="2254" t="s">
        <v>2373</v>
      </c>
      <c r="Q53" s="2255">
        <f ca="1">J53</f>
        <v>49.47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8095</v>
      </c>
      <c r="R54" s="2258" t="s">
        <v>2376</v>
      </c>
    </row>
    <row r="55" spans="1:18" s="1942" customFormat="1" ht="18" customHeight="1" thickTop="1" thickBot="1">
      <c r="A55" s="787">
        <v>2</v>
      </c>
      <c r="B55" s="788" t="s">
        <v>637</v>
      </c>
      <c r="C55" s="789">
        <f ca="1">C13</f>
        <v>12458</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2289</v>
      </c>
      <c r="C56" s="53">
        <f ca="1">C29</f>
        <v>12458</v>
      </c>
      <c r="D56" s="2481"/>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184</v>
      </c>
      <c r="D57" s="26" t="s">
        <v>1740</v>
      </c>
      <c r="E57" s="2482"/>
      <c r="F57" s="56"/>
      <c r="I57" s="2818" t="s">
        <v>2342</v>
      </c>
      <c r="J57" s="2819" t="str">
        <f ca="1">IF(OR(M47="住宅",J51&lt;L48,J56="是"),"——",J51-L48)</f>
        <v>——</v>
      </c>
      <c r="K57" s="2798" t="s">
        <v>2347</v>
      </c>
      <c r="L57" s="1822" t="str">
        <f ca="1">IF(L48&lt;J51,"——",IF(L55="比较法",L49,IF(L55="基准地价",L50,L51)))</f>
        <v>——</v>
      </c>
      <c r="M57" s="3261"/>
      <c r="O57" s="2253" t="s">
        <v>2363</v>
      </c>
      <c r="P57" s="2254" t="s">
        <v>2393</v>
      </c>
      <c r="Q57" s="2255">
        <f ca="1">C40+J29</f>
        <v>8095</v>
      </c>
      <c r="R57" s="2254" t="s">
        <v>2364</v>
      </c>
    </row>
    <row r="58" spans="1:18" s="1942" customFormat="1" ht="28.5" customHeight="1" thickBot="1">
      <c r="A58" s="1577" t="s">
        <v>1814</v>
      </c>
      <c r="B58" s="774" t="s">
        <v>649</v>
      </c>
      <c r="C58" s="3018">
        <f ca="1">ROUND(IF(AND(项目基本情况!B11="自然人",项目基本情况!B10="北京市"),C48*F58/(1+'数据-取费表'!C42),C59+C60+C61),0)</f>
        <v>3</v>
      </c>
      <c r="D58" s="2480" t="s">
        <v>650</v>
      </c>
      <c r="E58" s="2481"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2481"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2481"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2.5</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8180.9</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162</v>
      </c>
      <c r="D63" s="2481" t="s">
        <v>1793</v>
      </c>
      <c r="E63" s="774" t="s">
        <v>1737</v>
      </c>
      <c r="F63" s="806">
        <f t="shared" ca="1" si="0"/>
        <v>1.2999999999999999E-2</v>
      </c>
      <c r="I63" s="2823" t="s">
        <v>2354</v>
      </c>
      <c r="J63" s="2824">
        <v>70</v>
      </c>
      <c r="K63" s="2824">
        <v>50</v>
      </c>
      <c r="L63" s="2824">
        <v>80</v>
      </c>
      <c r="M63" s="2826">
        <v>0.02</v>
      </c>
      <c r="O63" s="2253" t="s">
        <v>2375</v>
      </c>
      <c r="P63" s="2254" t="s">
        <v>2392</v>
      </c>
      <c r="Q63" s="2255">
        <f ca="1">Q57+Q58</f>
        <v>8095</v>
      </c>
      <c r="R63" s="2258" t="s">
        <v>2376</v>
      </c>
    </row>
    <row r="64" spans="1:18" s="1942" customFormat="1" ht="16.5" thickBot="1">
      <c r="A64" s="1577" t="s">
        <v>1880</v>
      </c>
      <c r="B64" s="774" t="s">
        <v>672</v>
      </c>
      <c r="C64" s="53">
        <f ca="1">ROUND(C55*F64,1)</f>
        <v>18.7</v>
      </c>
      <c r="D64" s="2481"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2481"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-184</v>
      </c>
      <c r="D66" s="2480" t="s">
        <v>693</v>
      </c>
      <c r="E66" s="2479"/>
      <c r="F66" s="809"/>
      <c r="K66" s="1968"/>
      <c r="O66" s="2253" t="s">
        <v>2363</v>
      </c>
      <c r="P66" s="2254" t="s">
        <v>2393</v>
      </c>
      <c r="Q66" s="2255">
        <f ca="1">C40+J29</f>
        <v>8095</v>
      </c>
      <c r="R66" s="2254" t="s">
        <v>2364</v>
      </c>
    </row>
    <row r="67" spans="1:18" s="1942" customFormat="1" ht="20.25" thickBot="1">
      <c r="A67" s="771" t="s">
        <v>1770</v>
      </c>
      <c r="B67" s="2112" t="s">
        <v>2288</v>
      </c>
      <c r="C67" s="773">
        <f ca="1">ROUND(C66*(1-((1+F69)/(1+F67))^F68)/(F67-F69),0)</f>
        <v>-3626</v>
      </c>
      <c r="D67" s="803" t="s">
        <v>697</v>
      </c>
      <c r="E67" s="774" t="s">
        <v>698</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1774</v>
      </c>
      <c r="F68" s="811">
        <f ca="1">F41</f>
        <v>49.47</v>
      </c>
      <c r="O68" s="2256" t="s">
        <v>2367</v>
      </c>
      <c r="P68" s="2254" t="s">
        <v>2397</v>
      </c>
      <c r="Q68" s="2260">
        <f ca="1">L51</f>
        <v>-18007</v>
      </c>
      <c r="R68" s="2261" t="s">
        <v>2400</v>
      </c>
    </row>
    <row r="69" spans="1:18" ht="20.25" thickBot="1">
      <c r="A69" s="780"/>
      <c r="B69" s="781"/>
      <c r="C69" s="782"/>
      <c r="D69" s="805"/>
      <c r="E69" s="774" t="s">
        <v>703</v>
      </c>
      <c r="F69" s="2226"/>
      <c r="O69" s="2256" t="s">
        <v>2368</v>
      </c>
      <c r="P69" s="2262" t="s">
        <v>2382</v>
      </c>
      <c r="Q69" s="2255">
        <f ca="1">ROUND(Q70-Q71*Q72,0)</f>
        <v>-796</v>
      </c>
      <c r="R69" s="2258"/>
    </row>
    <row r="70" spans="1:18" ht="15.75" thickBot="1">
      <c r="A70" s="812" t="s">
        <v>1777</v>
      </c>
      <c r="B70" s="813" t="s">
        <v>1800</v>
      </c>
      <c r="C70" s="814">
        <f ca="1">ROUND(C67*10000/F70,0)</f>
        <v>-1170</v>
      </c>
      <c r="D70" s="815" t="s">
        <v>1801</v>
      </c>
      <c r="E70" s="816" t="s">
        <v>1802</v>
      </c>
      <c r="F70" s="817">
        <f ca="1">F43</f>
        <v>31000</v>
      </c>
      <c r="O70" s="2256" t="s">
        <v>2383</v>
      </c>
      <c r="P70" s="2262" t="s">
        <v>2384</v>
      </c>
      <c r="Q70" s="2255">
        <f ca="1">C39</f>
        <v>263</v>
      </c>
      <c r="R70" s="2254" t="s">
        <v>2364</v>
      </c>
    </row>
    <row r="71" spans="1:18" ht="15.75" thickBot="1">
      <c r="O71" s="2256" t="s">
        <v>2385</v>
      </c>
      <c r="P71" s="2262" t="s">
        <v>2386</v>
      </c>
      <c r="Q71" s="2255">
        <f ca="1">C13</f>
        <v>12458</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8095</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X50" sqref="X50"/>
    </sheetView>
  </sheetViews>
  <sheetFormatPr defaultRowHeight="13.5"/>
  <cols>
    <col min="1" max="1" width="10.5" customWidth="1"/>
    <col min="2" max="2" width="12.875" customWidth="1"/>
    <col min="3" max="3" width="8.75" customWidth="1"/>
  </cols>
  <sheetData>
    <row r="1" spans="1:9" ht="14.25">
      <c r="A1" s="3582" t="s">
        <v>2451</v>
      </c>
      <c r="B1" s="3583"/>
      <c r="C1" s="3584"/>
      <c r="D1" s="3585">
        <f>SUM(I10,I15,I20,I21,I23)</f>
        <v>2248</v>
      </c>
      <c r="E1" s="3585"/>
      <c r="F1" s="3585"/>
      <c r="G1" s="3585"/>
      <c r="H1" s="3585"/>
      <c r="I1" s="3586"/>
    </row>
    <row r="2" spans="1:9">
      <c r="A2" s="3572" t="s">
        <v>2452</v>
      </c>
      <c r="B2" s="3573" t="s">
        <v>2453</v>
      </c>
      <c r="C2" s="3573"/>
      <c r="D2" s="2360" t="s">
        <v>2454</v>
      </c>
      <c r="E2" s="2360" t="s">
        <v>2455</v>
      </c>
      <c r="F2" s="2360" t="s">
        <v>2456</v>
      </c>
      <c r="G2" s="2360" t="s">
        <v>2457</v>
      </c>
      <c r="H2" s="2360" t="s">
        <v>2458</v>
      </c>
      <c r="I2" s="2361" t="s">
        <v>2459</v>
      </c>
    </row>
    <row r="3" spans="1:9">
      <c r="A3" s="3572"/>
      <c r="B3" s="3573" t="s">
        <v>2460</v>
      </c>
      <c r="C3" s="3573"/>
      <c r="D3" s="2362"/>
      <c r="E3" s="2360"/>
      <c r="F3" s="2363"/>
      <c r="G3" s="2363"/>
      <c r="H3" s="2364"/>
      <c r="I3" s="2365">
        <f>ROUND(D3*E3*F3*G3*H3/10000,0)</f>
        <v>0</v>
      </c>
    </row>
    <row r="4" spans="1:9">
      <c r="A4" s="3572"/>
      <c r="B4" s="3573" t="s">
        <v>2461</v>
      </c>
      <c r="C4" s="3573"/>
      <c r="D4" s="2362"/>
      <c r="E4" s="2360"/>
      <c r="F4" s="2363"/>
      <c r="G4" s="2363"/>
      <c r="H4" s="2364"/>
      <c r="I4" s="2365">
        <f t="shared" ref="I4:I9" si="0">ROUND(D4*E4*F4*G4*H4/10000,0)</f>
        <v>0</v>
      </c>
    </row>
    <row r="5" spans="1:9">
      <c r="A5" s="3572"/>
      <c r="B5" s="3573" t="s">
        <v>2462</v>
      </c>
      <c r="C5" s="3573"/>
      <c r="D5" s="2362"/>
      <c r="E5" s="2360"/>
      <c r="F5" s="2363"/>
      <c r="G5" s="2363"/>
      <c r="H5" s="2364"/>
      <c r="I5" s="2365">
        <f t="shared" si="0"/>
        <v>0</v>
      </c>
    </row>
    <row r="6" spans="1:9">
      <c r="A6" s="3572"/>
      <c r="B6" s="3573" t="s">
        <v>2463</v>
      </c>
      <c r="C6" s="3573"/>
      <c r="D6" s="2362">
        <v>200</v>
      </c>
      <c r="E6" s="2360">
        <v>400</v>
      </c>
      <c r="F6" s="2363">
        <v>1</v>
      </c>
      <c r="G6" s="2363">
        <v>0.7</v>
      </c>
      <c r="H6" s="2364">
        <v>365</v>
      </c>
      <c r="I6" s="2365">
        <f t="shared" si="0"/>
        <v>2044</v>
      </c>
    </row>
    <row r="7" spans="1:9">
      <c r="A7" s="3572"/>
      <c r="B7" s="3573" t="s">
        <v>2464</v>
      </c>
      <c r="C7" s="3573"/>
      <c r="D7" s="2362"/>
      <c r="E7" s="2360"/>
      <c r="F7" s="2363"/>
      <c r="G7" s="2363"/>
      <c r="H7" s="2364"/>
      <c r="I7" s="2365">
        <f t="shared" si="0"/>
        <v>0</v>
      </c>
    </row>
    <row r="8" spans="1:9">
      <c r="A8" s="3572"/>
      <c r="B8" s="3573" t="s">
        <v>2465</v>
      </c>
      <c r="C8" s="3573"/>
      <c r="D8" s="2362"/>
      <c r="E8" s="2360"/>
      <c r="F8" s="2363"/>
      <c r="G8" s="2363"/>
      <c r="H8" s="2364"/>
      <c r="I8" s="2365">
        <f t="shared" si="0"/>
        <v>0</v>
      </c>
    </row>
    <row r="9" spans="1:9">
      <c r="A9" s="3572"/>
      <c r="B9" s="3573" t="s">
        <v>2466</v>
      </c>
      <c r="C9" s="3573"/>
      <c r="D9" s="2362"/>
      <c r="E9" s="2360"/>
      <c r="F9" s="2363"/>
      <c r="G9" s="2363"/>
      <c r="H9" s="2364"/>
      <c r="I9" s="2365">
        <f t="shared" si="0"/>
        <v>0</v>
      </c>
    </row>
    <row r="10" spans="1:9">
      <c r="A10" s="3572"/>
      <c r="B10" s="3574" t="s">
        <v>2467</v>
      </c>
      <c r="C10" s="3574"/>
      <c r="D10" s="2366">
        <v>200</v>
      </c>
      <c r="E10" s="2366" t="e">
        <f>ROUND(D1*10000/D10/H9,0)</f>
        <v>#DIV/0!</v>
      </c>
      <c r="F10" s="2367"/>
      <c r="G10" s="2367"/>
      <c r="H10" s="2368"/>
      <c r="I10" s="2369">
        <f>SUM(I3:I9)</f>
        <v>2044</v>
      </c>
    </row>
    <row r="11" spans="1:9" ht="14.25">
      <c r="A11" s="3572" t="s">
        <v>2468</v>
      </c>
      <c r="B11" s="3573" t="s">
        <v>2469</v>
      </c>
      <c r="C11" s="3573"/>
      <c r="D11" s="2362" t="s">
        <v>2470</v>
      </c>
      <c r="E11" s="2362" t="s">
        <v>2471</v>
      </c>
      <c r="F11" s="2363" t="s">
        <v>2472</v>
      </c>
      <c r="G11" s="2363" t="s">
        <v>2473</v>
      </c>
      <c r="H11" s="2370" t="s">
        <v>2474</v>
      </c>
      <c r="I11" s="2361" t="s">
        <v>2475</v>
      </c>
    </row>
    <row r="12" spans="1:9">
      <c r="A12" s="3572"/>
      <c r="B12" s="3573" t="s">
        <v>2476</v>
      </c>
      <c r="C12" s="3573"/>
      <c r="D12" s="2362"/>
      <c r="E12" s="2362"/>
      <c r="F12" s="2363"/>
      <c r="G12" s="2364"/>
      <c r="H12" s="2371"/>
      <c r="I12" s="2361">
        <f>ROUND(D12*E12*F12*G12/10000,0)</f>
        <v>0</v>
      </c>
    </row>
    <row r="13" spans="1:9">
      <c r="A13" s="3572"/>
      <c r="B13" s="3573" t="s">
        <v>2477</v>
      </c>
      <c r="C13" s="3573"/>
      <c r="D13" s="2362"/>
      <c r="E13" s="2362"/>
      <c r="F13" s="2363"/>
      <c r="G13" s="2364"/>
      <c r="H13" s="2371"/>
      <c r="I13" s="2361">
        <f>ROUND(D13*E13*F13*G13/10000,0)</f>
        <v>0</v>
      </c>
    </row>
    <row r="14" spans="1:9">
      <c r="A14" s="3572"/>
      <c r="B14" s="3573" t="s">
        <v>2478</v>
      </c>
      <c r="C14" s="3573"/>
      <c r="D14" s="2362"/>
      <c r="E14" s="2362"/>
      <c r="F14" s="2363"/>
      <c r="G14" s="2364"/>
      <c r="H14" s="2371"/>
      <c r="I14" s="2361">
        <f>ROUND(D14*E14*F14*G14/10000,0)</f>
        <v>0</v>
      </c>
    </row>
    <row r="15" spans="1:9">
      <c r="A15" s="3572"/>
      <c r="B15" s="3574" t="s">
        <v>2467</v>
      </c>
      <c r="C15" s="3574"/>
      <c r="D15" s="2366"/>
      <c r="E15" s="2366">
        <f>SUM(E12:E14)</f>
        <v>0</v>
      </c>
      <c r="F15" s="2367"/>
      <c r="G15" s="2364"/>
      <c r="H15" s="2371"/>
      <c r="I15" s="2372">
        <f>SUM(I12:I14)</f>
        <v>0</v>
      </c>
    </row>
    <row r="16" spans="1:9" ht="24">
      <c r="A16" s="3572" t="s">
        <v>2479</v>
      </c>
      <c r="B16" s="3573" t="s">
        <v>2480</v>
      </c>
      <c r="C16" s="3573"/>
      <c r="D16" s="2362" t="s">
        <v>2481</v>
      </c>
      <c r="E16" s="2373" t="s">
        <v>2482</v>
      </c>
      <c r="F16" s="2363" t="s">
        <v>2483</v>
      </c>
      <c r="G16" s="2364" t="s">
        <v>2473</v>
      </c>
      <c r="H16" s="2370" t="s">
        <v>2474</v>
      </c>
      <c r="I16" s="2361" t="s">
        <v>2475</v>
      </c>
    </row>
    <row r="17" spans="1:9" ht="14.25">
      <c r="A17" s="3572"/>
      <c r="B17" s="3573" t="s">
        <v>2484</v>
      </c>
      <c r="C17" s="3573"/>
      <c r="D17" s="2362"/>
      <c r="E17" s="2362"/>
      <c r="F17" s="2363"/>
      <c r="G17" s="2364"/>
      <c r="H17" s="2374"/>
      <c r="I17" s="2375">
        <f>ROUND(D17*E17*F17*G17/10000,0)</f>
        <v>0</v>
      </c>
    </row>
    <row r="18" spans="1:9" ht="14.25">
      <c r="A18" s="3572"/>
      <c r="B18" s="3573" t="s">
        <v>2485</v>
      </c>
      <c r="C18" s="3573"/>
      <c r="D18" s="2362"/>
      <c r="E18" s="2362"/>
      <c r="F18" s="2363"/>
      <c r="G18" s="2364"/>
      <c r="H18" s="2374"/>
      <c r="I18" s="2375">
        <f>ROUND(D18*E18*F18*G18/10000,0)</f>
        <v>0</v>
      </c>
    </row>
    <row r="19" spans="1:9" ht="14.25">
      <c r="A19" s="3572"/>
      <c r="B19" s="3573" t="s">
        <v>2486</v>
      </c>
      <c r="C19" s="3573"/>
      <c r="D19" s="2362"/>
      <c r="E19" s="2362"/>
      <c r="F19" s="2363"/>
      <c r="G19" s="2364"/>
      <c r="H19" s="2374"/>
      <c r="I19" s="2375">
        <f>ROUND(D19*E19*F19*G19/10000,0)</f>
        <v>0</v>
      </c>
    </row>
    <row r="20" spans="1:9">
      <c r="A20" s="3572"/>
      <c r="B20" s="3574" t="s">
        <v>2467</v>
      </c>
      <c r="C20" s="3574"/>
      <c r="D20" s="2366">
        <f>SUM(D17:D19)</f>
        <v>0</v>
      </c>
      <c r="E20" s="2366"/>
      <c r="F20" s="2367"/>
      <c r="G20" s="2364"/>
      <c r="H20" s="2371"/>
      <c r="I20" s="2372">
        <f>SUM(I17:I19)</f>
        <v>0</v>
      </c>
    </row>
    <row r="21" spans="1:9">
      <c r="A21" s="3572" t="s">
        <v>2487</v>
      </c>
      <c r="B21" s="3575"/>
      <c r="C21" s="3575"/>
      <c r="D21" s="3575"/>
      <c r="E21" s="3575"/>
      <c r="F21" s="3575"/>
      <c r="G21" s="3575"/>
      <c r="H21" s="2376">
        <v>0.1</v>
      </c>
      <c r="I21" s="2369">
        <f>ROUND(I10*H21,0)</f>
        <v>204</v>
      </c>
    </row>
    <row r="22" spans="1:9" ht="14.25">
      <c r="A22" s="3576" t="s">
        <v>2488</v>
      </c>
      <c r="B22" s="3577"/>
      <c r="C22" s="3578"/>
      <c r="D22" s="2377" t="s">
        <v>2489</v>
      </c>
      <c r="E22" s="2377" t="s">
        <v>2490</v>
      </c>
      <c r="F22" s="2378" t="s">
        <v>2491</v>
      </c>
      <c r="G22" s="2378" t="s">
        <v>2492</v>
      </c>
      <c r="H22" s="2370" t="s">
        <v>2493</v>
      </c>
      <c r="I22" s="2361" t="s">
        <v>2494</v>
      </c>
    </row>
    <row r="23" spans="1:9" ht="14.25" thickBot="1">
      <c r="A23" s="3579"/>
      <c r="B23" s="3580"/>
      <c r="C23" s="3581"/>
      <c r="D23" s="2379"/>
      <c r="E23" s="2379"/>
      <c r="F23" s="2379"/>
      <c r="G23" s="2380"/>
      <c r="H23" s="2381"/>
      <c r="I23" s="2382">
        <f>ROUND(E23*D23*F23*(1-G23)/10000,0)</f>
        <v>0</v>
      </c>
    </row>
    <row r="26" spans="1:9">
      <c r="A26" s="2383" t="s">
        <v>2495</v>
      </c>
      <c r="B26" s="2383"/>
      <c r="C26" s="2383"/>
      <c r="D26" s="2383"/>
      <c r="E26" s="3569">
        <f>C27-C30-C31-C32</f>
        <v>1533</v>
      </c>
      <c r="F26" s="3569"/>
      <c r="G26" s="3569"/>
      <c r="H26" s="2755" t="s">
        <v>2821</v>
      </c>
    </row>
    <row r="27" spans="1:9">
      <c r="A27" s="2384">
        <v>1</v>
      </c>
      <c r="B27" s="2385" t="s">
        <v>2496</v>
      </c>
      <c r="C27" s="2385">
        <f>I10</f>
        <v>2044</v>
      </c>
      <c r="D27" s="2385"/>
      <c r="E27" s="3570"/>
      <c r="F27" s="3570"/>
      <c r="G27" s="3570"/>
    </row>
    <row r="28" spans="1:9">
      <c r="A28" s="2386" t="s">
        <v>2497</v>
      </c>
      <c r="B28" s="2385" t="s">
        <v>2498</v>
      </c>
      <c r="C28" s="2385">
        <f>I10</f>
        <v>2044</v>
      </c>
      <c r="D28" s="2385"/>
      <c r="E28" s="3570"/>
      <c r="F28" s="3570"/>
      <c r="G28" s="3570"/>
    </row>
    <row r="29" spans="1:9">
      <c r="A29" s="2386" t="s">
        <v>2499</v>
      </c>
      <c r="B29" s="2385" t="s">
        <v>2440</v>
      </c>
      <c r="C29" s="2385">
        <f>I21</f>
        <v>204</v>
      </c>
      <c r="D29" s="2385"/>
      <c r="E29" s="2385" t="s">
        <v>2500</v>
      </c>
      <c r="F29" s="2385"/>
      <c r="G29" s="2385"/>
    </row>
    <row r="30" spans="1:9">
      <c r="A30" s="2384">
        <v>2</v>
      </c>
      <c r="B30" s="2385" t="s">
        <v>2501</v>
      </c>
      <c r="C30" s="2385">
        <f>C27*D30</f>
        <v>408.8</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102.2</v>
      </c>
      <c r="D32" s="2387">
        <v>0.05</v>
      </c>
      <c r="E32" s="3571"/>
      <c r="F32" s="3571"/>
      <c r="G32" s="3571"/>
    </row>
    <row r="33" spans="1:7" hidden="1">
      <c r="A33" s="3566" t="s">
        <v>2506</v>
      </c>
      <c r="B33" s="3567"/>
      <c r="C33" s="3567"/>
      <c r="D33" s="3568"/>
      <c r="E33" s="3569"/>
      <c r="F33" s="3569"/>
      <c r="G33" s="3569"/>
    </row>
    <row r="34" spans="1:7" hidden="1">
      <c r="A34" s="2388">
        <v>1</v>
      </c>
      <c r="B34" s="2385" t="s">
        <v>2507</v>
      </c>
      <c r="C34" s="2385"/>
      <c r="D34" s="2385"/>
      <c r="E34" s="3570"/>
      <c r="F34" s="3570"/>
      <c r="G34" s="3570"/>
    </row>
    <row r="35" spans="1:7" hidden="1">
      <c r="A35" s="2388">
        <v>2</v>
      </c>
      <c r="B35" s="2385" t="s">
        <v>2508</v>
      </c>
      <c r="C35" s="2385"/>
      <c r="D35" s="2385"/>
      <c r="E35" s="3570"/>
      <c r="F35" s="3570"/>
      <c r="G35" s="3570"/>
    </row>
    <row r="36" spans="1:7" hidden="1">
      <c r="A36" s="2388">
        <v>3</v>
      </c>
      <c r="B36" s="2385" t="s">
        <v>2509</v>
      </c>
      <c r="C36" s="2385"/>
      <c r="D36" s="2385"/>
      <c r="E36" s="3570"/>
      <c r="F36" s="3570"/>
      <c r="G36" s="3570"/>
    </row>
    <row r="37" spans="1:7" hidden="1">
      <c r="A37" s="2388">
        <v>4</v>
      </c>
      <c r="B37" s="2385" t="s">
        <v>2510</v>
      </c>
      <c r="C37" s="2385"/>
      <c r="D37" s="2385"/>
      <c r="E37" s="3570"/>
      <c r="F37" s="3570"/>
      <c r="G37" s="3570"/>
    </row>
    <row r="38" spans="1:7" hidden="1">
      <c r="A38" s="3566" t="s">
        <v>2511</v>
      </c>
      <c r="B38" s="3567"/>
      <c r="C38" s="3567"/>
      <c r="D38" s="3568"/>
      <c r="E38" s="3569"/>
      <c r="F38" s="3569"/>
      <c r="G38" s="35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596</v>
      </c>
      <c r="B1" s="734"/>
      <c r="C1" s="2063"/>
      <c r="D1" s="2063"/>
      <c r="E1" s="2063"/>
      <c r="F1" s="2063"/>
      <c r="G1" s="1990"/>
    </row>
    <row r="2" spans="1:25" s="1942" customFormat="1" ht="18" customHeight="1">
      <c r="A2" s="417" t="s">
        <v>460</v>
      </c>
      <c r="B2" s="419">
        <f ca="1">C23</f>
        <v>0</v>
      </c>
      <c r="C2" s="3266"/>
      <c r="D2" s="3266"/>
      <c r="E2" s="3266"/>
      <c r="F2" s="3266"/>
      <c r="G2" s="3266"/>
    </row>
    <row r="3" spans="1:25" s="1942" customFormat="1" ht="18" customHeight="1">
      <c r="A3" s="1330" t="s">
        <v>1675</v>
      </c>
      <c r="B3" s="419">
        <f ca="1">ROUND(B2*10000/'数据-汇总表'!E3,0)</f>
        <v>0</v>
      </c>
      <c r="C3" s="3266"/>
      <c r="D3" s="3266"/>
      <c r="E3" s="3266"/>
      <c r="F3" s="3266"/>
      <c r="G3" s="3266"/>
    </row>
    <row r="4" spans="1:25" s="1942" customFormat="1" ht="18" customHeight="1">
      <c r="A4" s="420" t="s">
        <v>461</v>
      </c>
      <c r="B4" s="421">
        <f ca="1">ROUND(B2*10000/'数据-汇总表'!D3,0)</f>
        <v>0</v>
      </c>
      <c r="C4" s="3219"/>
      <c r="D4" s="3266"/>
      <c r="E4" s="3266"/>
      <c r="F4" s="3266"/>
      <c r="G4" s="3266"/>
    </row>
    <row r="5" spans="1:25" s="1942" customFormat="1" ht="18" customHeight="1" thickBot="1">
      <c r="A5" s="423"/>
      <c r="B5" s="424">
        <f ca="1">ROUND(B2/('数据-汇总表'!D3/666.67),0)</f>
        <v>0</v>
      </c>
      <c r="C5" s="425" t="s">
        <v>462</v>
      </c>
      <c r="D5" s="3266"/>
      <c r="E5" s="3266"/>
      <c r="F5" s="3266"/>
      <c r="G5" s="3266"/>
    </row>
    <row r="6" spans="1:25" s="2064" customFormat="1" ht="13.5" customHeight="1">
      <c r="A6" s="735"/>
      <c r="B6" s="736" t="s">
        <v>597</v>
      </c>
      <c r="C6" s="737" t="s">
        <v>598</v>
      </c>
      <c r="D6" s="737" t="s">
        <v>599</v>
      </c>
      <c r="E6" s="738" t="s">
        <v>600</v>
      </c>
      <c r="F6" s="738" t="s">
        <v>601</v>
      </c>
      <c r="G6" s="3265" t="s">
        <v>2991</v>
      </c>
    </row>
    <row r="7" spans="1:25" s="2064" customFormat="1" ht="13.5" customHeight="1">
      <c r="A7" s="2323">
        <v>1</v>
      </c>
      <c r="B7" s="739" t="s">
        <v>602</v>
      </c>
      <c r="C7" s="740">
        <f>C8+C9</f>
        <v>0</v>
      </c>
      <c r="D7" s="740"/>
      <c r="E7" s="741"/>
      <c r="F7" s="741"/>
      <c r="G7" s="2332"/>
    </row>
    <row r="8" spans="1:25" s="2064" customFormat="1" ht="13.5" customHeight="1">
      <c r="A8" s="2323" t="s">
        <v>2422</v>
      </c>
      <c r="B8" s="2326" t="s">
        <v>2424</v>
      </c>
      <c r="C8" s="3269">
        <f t="shared" ref="C8:C9" si="0">ROUND(D8*E8/10000,0)</f>
        <v>0</v>
      </c>
      <c r="D8" s="3269">
        <v>0</v>
      </c>
      <c r="E8" s="3270">
        <v>0</v>
      </c>
      <c r="F8" s="741"/>
      <c r="G8" s="742"/>
    </row>
    <row r="9" spans="1:25" s="2064" customFormat="1" ht="13.5" customHeight="1">
      <c r="A9" s="2323" t="s">
        <v>2423</v>
      </c>
      <c r="B9" s="2326" t="s">
        <v>2425</v>
      </c>
      <c r="C9" s="3269">
        <f t="shared" si="0"/>
        <v>0</v>
      </c>
      <c r="D9" s="3269">
        <v>0</v>
      </c>
      <c r="E9" s="3270">
        <v>0</v>
      </c>
      <c r="F9" s="741"/>
      <c r="G9" s="742"/>
    </row>
    <row r="10" spans="1:25" s="2064" customFormat="1" ht="36">
      <c r="A10" s="2323">
        <v>2</v>
      </c>
      <c r="B10" s="739" t="s">
        <v>606</v>
      </c>
      <c r="C10" s="740">
        <f>C11+C14+C15</f>
        <v>0</v>
      </c>
      <c r="D10" s="750"/>
      <c r="E10" s="740"/>
      <c r="F10" s="751"/>
      <c r="G10" s="749" t="s">
        <v>607</v>
      </c>
    </row>
    <row r="11" spans="1:25" s="2064" customFormat="1" ht="13.5" customHeight="1">
      <c r="A11" s="2323" t="s">
        <v>2422</v>
      </c>
      <c r="B11" s="743" t="s">
        <v>603</v>
      </c>
      <c r="C11" s="744">
        <f>'数据-取费表'!B29</f>
        <v>0</v>
      </c>
      <c r="D11" s="745"/>
      <c r="E11" s="744"/>
      <c r="F11" s="746"/>
      <c r="G11" s="2331" t="s">
        <v>2433</v>
      </c>
    </row>
    <row r="12" spans="1:25" s="2064" customFormat="1" ht="13.5" customHeight="1">
      <c r="A12" s="2329" t="s">
        <v>2430</v>
      </c>
      <c r="B12" s="747" t="s">
        <v>604</v>
      </c>
      <c r="C12" s="748">
        <f>ROUND(D12*E12/10000,0)</f>
        <v>0</v>
      </c>
      <c r="D12" s="3269">
        <f>'数据-汇总表'!E5</f>
        <v>0</v>
      </c>
      <c r="E12" s="3269">
        <f>'数据-取费表'!B27</f>
        <v>160</v>
      </c>
      <c r="F12" s="746"/>
      <c r="G12" s="749"/>
    </row>
    <row r="13" spans="1:25" s="2064" customFormat="1" ht="13.5" customHeight="1">
      <c r="A13" s="2329" t="s">
        <v>2429</v>
      </c>
      <c r="B13" s="747" t="s">
        <v>605</v>
      </c>
      <c r="C13" s="748">
        <f>ROUND(D13*E13/10000,0)</f>
        <v>1364</v>
      </c>
      <c r="D13" s="3269">
        <f>'数据-汇总表'!E6</f>
        <v>68200</v>
      </c>
      <c r="E13" s="3269">
        <f>'数据-取费表'!B28</f>
        <v>200</v>
      </c>
      <c r="F13" s="746"/>
      <c r="G13" s="749"/>
    </row>
    <row r="14" spans="1:25" s="2064" customFormat="1" ht="13.5" customHeight="1">
      <c r="A14" s="2323" t="s">
        <v>2423</v>
      </c>
      <c r="B14" s="2328" t="s">
        <v>2426</v>
      </c>
      <c r="C14" s="3271">
        <f t="shared" ref="C14:C15" si="1">ROUND(D14*E14/10000,0)</f>
        <v>0</v>
      </c>
      <c r="D14" s="3269">
        <v>0</v>
      </c>
      <c r="E14" s="3270">
        <v>0</v>
      </c>
      <c r="F14" s="2327"/>
      <c r="G14" s="2330" t="s">
        <v>2431</v>
      </c>
    </row>
    <row r="15" spans="1:25" s="2064" customFormat="1" ht="13.5" customHeight="1">
      <c r="A15" s="2323" t="s">
        <v>2428</v>
      </c>
      <c r="B15" s="2328" t="s">
        <v>2427</v>
      </c>
      <c r="C15" s="3271">
        <f t="shared" si="1"/>
        <v>0</v>
      </c>
      <c r="D15" s="3269">
        <v>0</v>
      </c>
      <c r="E15" s="3270">
        <v>0</v>
      </c>
      <c r="F15" s="2327"/>
      <c r="G15" s="2330" t="s">
        <v>2432</v>
      </c>
    </row>
    <row r="16" spans="1:25" s="2065" customFormat="1" ht="48">
      <c r="A16" s="2323">
        <v>3</v>
      </c>
      <c r="B16" s="739" t="s">
        <v>608</v>
      </c>
      <c r="C16" s="3271">
        <f t="shared" ref="C16" si="2">ROUND(D16*E16/10000,0)</f>
        <v>0</v>
      </c>
      <c r="D16" s="3269">
        <v>0</v>
      </c>
      <c r="E16" s="3270">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609</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610</v>
      </c>
      <c r="C18" s="740">
        <f>ROUND((C7+C10+C16)*F18,0)</f>
        <v>0</v>
      </c>
      <c r="D18" s="752"/>
      <c r="E18" s="753"/>
      <c r="F18" s="1302">
        <v>0.05</v>
      </c>
      <c r="G18" s="755" t="s">
        <v>611</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612</v>
      </c>
      <c r="C19" s="740">
        <f ca="1">C7+C10+C16+C17+C18</f>
        <v>0</v>
      </c>
      <c r="D19" s="750"/>
      <c r="E19" s="740"/>
      <c r="F19" s="751"/>
      <c r="G19" s="755" t="s">
        <v>613</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614</v>
      </c>
      <c r="C20" s="740">
        <f ca="1">ROUND(C19*F20,0)</f>
        <v>0</v>
      </c>
      <c r="D20" s="750"/>
      <c r="E20" s="740"/>
      <c r="F20" s="1302">
        <v>0.1</v>
      </c>
      <c r="G20" s="755" t="s">
        <v>615</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616</v>
      </c>
      <c r="C21" s="740">
        <f ca="1">C19+C20</f>
        <v>0</v>
      </c>
      <c r="D21" s="750"/>
      <c r="E21" s="740"/>
      <c r="F21" s="751"/>
      <c r="G21" s="755" t="s">
        <v>617</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618</v>
      </c>
      <c r="C22" s="740">
        <f ca="1">ROUND(C21*F22,0)</f>
        <v>0</v>
      </c>
      <c r="D22" s="750"/>
      <c r="E22" s="740"/>
      <c r="F22" s="756">
        <f>'数据-取费表'!AP16</f>
        <v>0.84199999999999997</v>
      </c>
      <c r="G22" s="755" t="s">
        <v>619</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620</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2467" t="s">
        <v>712</v>
      </c>
      <c r="C1" s="2468" t="s">
        <v>713</v>
      </c>
      <c r="D1" s="2469"/>
      <c r="E1" s="2009"/>
      <c r="F1" s="2524"/>
      <c r="G1" s="1531" t="s">
        <v>714</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5" customFormat="1" ht="28.5" customHeight="1">
      <c r="A2" s="417" t="s">
        <v>460</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512</v>
      </c>
      <c r="B3" s="840" t="e">
        <f>C49</f>
        <v>#DIV/0!</v>
      </c>
      <c r="C3" s="841" t="s">
        <v>715</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514</v>
      </c>
      <c r="B4" s="507"/>
      <c r="C4" s="3489" t="s">
        <v>515</v>
      </c>
      <c r="D4" s="3490"/>
      <c r="E4" s="3514" t="s">
        <v>516</v>
      </c>
      <c r="F4" s="3515"/>
      <c r="G4" s="3489" t="s">
        <v>517</v>
      </c>
      <c r="H4" s="3490"/>
      <c r="I4" s="3489" t="s">
        <v>518</v>
      </c>
      <c r="J4" s="3490"/>
      <c r="K4" s="842" t="s">
        <v>519</v>
      </c>
      <c r="L4" s="2015"/>
      <c r="M4" s="2016"/>
      <c r="N4" s="2016"/>
      <c r="O4" s="2016"/>
      <c r="P4" s="3491" t="s">
        <v>520</v>
      </c>
      <c r="Q4" s="3492"/>
      <c r="R4" s="3477" t="s">
        <v>516</v>
      </c>
      <c r="S4" s="3478"/>
      <c r="T4" s="3477" t="s">
        <v>517</v>
      </c>
      <c r="U4" s="3478"/>
      <c r="V4" s="3497" t="s">
        <v>518</v>
      </c>
      <c r="W4" s="3497"/>
      <c r="X4" s="1501"/>
      <c r="Y4" s="3477" t="s">
        <v>520</v>
      </c>
      <c r="Z4" s="3478"/>
      <c r="AA4" s="3472" t="s">
        <v>516</v>
      </c>
      <c r="AB4" s="3472" t="s">
        <v>517</v>
      </c>
      <c r="AC4" s="3472" t="s">
        <v>518</v>
      </c>
    </row>
    <row r="5" spans="1:29" ht="15">
      <c r="A5" s="509"/>
      <c r="B5" s="510"/>
      <c r="C5" s="3500" t="s">
        <v>2891</v>
      </c>
      <c r="D5" s="3501"/>
      <c r="E5" s="3516" t="s">
        <v>2892</v>
      </c>
      <c r="F5" s="3517"/>
      <c r="G5" s="3500" t="s">
        <v>2893</v>
      </c>
      <c r="H5" s="3501"/>
      <c r="I5" s="3500" t="s">
        <v>2894</v>
      </c>
      <c r="J5" s="3501"/>
      <c r="K5" s="843"/>
      <c r="L5" s="2015"/>
      <c r="M5" s="2016"/>
      <c r="N5" s="2016"/>
      <c r="O5" s="2016"/>
      <c r="P5" s="3493"/>
      <c r="Q5" s="3494"/>
      <c r="R5" s="3479"/>
      <c r="S5" s="3480"/>
      <c r="T5" s="3479"/>
      <c r="U5" s="3480"/>
      <c r="V5" s="3497"/>
      <c r="W5" s="3497"/>
      <c r="X5" s="1501"/>
      <c r="Y5" s="3479"/>
      <c r="Z5" s="3480"/>
      <c r="AA5" s="3473"/>
      <c r="AB5" s="3473"/>
      <c r="AC5" s="3473"/>
    </row>
    <row r="6" spans="1:29" ht="15.75" thickBot="1">
      <c r="A6" s="511"/>
      <c r="B6" s="512"/>
      <c r="C6" s="3498" t="s">
        <v>2895</v>
      </c>
      <c r="D6" s="3499"/>
      <c r="E6" s="3518" t="s">
        <v>2895</v>
      </c>
      <c r="F6" s="3519"/>
      <c r="G6" s="3498" t="s">
        <v>2895</v>
      </c>
      <c r="H6" s="3499"/>
      <c r="I6" s="3498" t="s">
        <v>2895</v>
      </c>
      <c r="J6" s="3499"/>
      <c r="K6" s="843" t="s">
        <v>521</v>
      </c>
      <c r="L6" s="2015"/>
      <c r="M6" s="2016"/>
      <c r="N6" s="2016"/>
      <c r="O6" s="2016"/>
      <c r="P6" s="3495"/>
      <c r="Q6" s="3496"/>
      <c r="R6" s="3479"/>
      <c r="S6" s="3480"/>
      <c r="T6" s="3481"/>
      <c r="U6" s="3482"/>
      <c r="V6" s="3497"/>
      <c r="W6" s="3497"/>
      <c r="X6" s="1501"/>
      <c r="Y6" s="3481"/>
      <c r="Z6" s="3482"/>
      <c r="AA6" s="3474"/>
      <c r="AB6" s="3474"/>
      <c r="AC6" s="3474"/>
    </row>
    <row r="7" spans="1:29" s="1203" customFormat="1" ht="15.75" thickBot="1">
      <c r="A7" s="2629"/>
      <c r="B7" s="2636" t="s">
        <v>522</v>
      </c>
      <c r="C7" s="513">
        <f>'数据-取费表'!B2</f>
        <v>44448</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75" t="s">
        <v>523</v>
      </c>
      <c r="Q7" s="3484"/>
      <c r="R7" s="1502" t="s">
        <v>13</v>
      </c>
      <c r="S7" s="1503">
        <f t="shared" ref="S7:S15" si="0">F7</f>
        <v>0</v>
      </c>
      <c r="T7" s="1502" t="s">
        <v>13</v>
      </c>
      <c r="U7" s="1503">
        <f t="shared" ref="U7:U15" si="1">H7</f>
        <v>0</v>
      </c>
      <c r="V7" s="1502" t="s">
        <v>13</v>
      </c>
      <c r="W7" s="1503">
        <f t="shared" ref="W7:W15" si="2">J7</f>
        <v>0</v>
      </c>
      <c r="X7" s="1504"/>
      <c r="Y7" s="3475" t="s">
        <v>523</v>
      </c>
      <c r="Z7" s="3476"/>
      <c r="AA7" s="1505" t="e">
        <f>D7/F7</f>
        <v>#DIV/0!</v>
      </c>
      <c r="AB7" s="1505" t="e">
        <f>D7/H7</f>
        <v>#DIV/0!</v>
      </c>
      <c r="AC7" s="1505" t="e">
        <f>D7/J7</f>
        <v>#DIV/0!</v>
      </c>
    </row>
    <row r="8" spans="1:29" s="1203" customFormat="1" ht="15.75" thickBot="1">
      <c r="A8" s="2630"/>
      <c r="B8" s="2637" t="s">
        <v>524</v>
      </c>
      <c r="C8" s="519" t="s">
        <v>569</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75" t="s">
        <v>526</v>
      </c>
      <c r="Q8" s="3476"/>
      <c r="R8" s="1502" t="s">
        <v>13</v>
      </c>
      <c r="S8" s="1503">
        <f t="shared" si="0"/>
        <v>0</v>
      </c>
      <c r="T8" s="1502" t="s">
        <v>13</v>
      </c>
      <c r="U8" s="1503">
        <f t="shared" si="1"/>
        <v>0</v>
      </c>
      <c r="V8" s="1502" t="s">
        <v>13</v>
      </c>
      <c r="W8" s="1503">
        <f t="shared" si="2"/>
        <v>0</v>
      </c>
      <c r="X8" s="1504"/>
      <c r="Y8" s="3475" t="s">
        <v>526</v>
      </c>
      <c r="Z8" s="3476"/>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83" t="s">
        <v>528</v>
      </c>
      <c r="Q9" s="1134" t="str">
        <f t="shared" ref="Q9:Q15" si="6">B9</f>
        <v>用途</v>
      </c>
      <c r="R9" s="1502" t="s">
        <v>8</v>
      </c>
      <c r="S9" s="1503">
        <f t="shared" si="0"/>
        <v>100</v>
      </c>
      <c r="T9" s="1502" t="s">
        <v>8</v>
      </c>
      <c r="U9" s="1503">
        <f t="shared" si="1"/>
        <v>100</v>
      </c>
      <c r="V9" s="1502" t="s">
        <v>8</v>
      </c>
      <c r="W9" s="1503">
        <f t="shared" si="2"/>
        <v>100</v>
      </c>
      <c r="X9" s="1504"/>
      <c r="Y9" s="3434"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83"/>
      <c r="Q10" s="1134" t="str">
        <f t="shared" si="6"/>
        <v>土地使用年限（年）</v>
      </c>
      <c r="R10" s="1502" t="s">
        <v>8</v>
      </c>
      <c r="S10" s="1503">
        <f t="shared" si="0"/>
        <v>100</v>
      </c>
      <c r="T10" s="1502" t="s">
        <v>8</v>
      </c>
      <c r="U10" s="1503">
        <f t="shared" si="1"/>
        <v>100</v>
      </c>
      <c r="V10" s="1502" t="s">
        <v>8</v>
      </c>
      <c r="W10" s="1503">
        <f t="shared" si="2"/>
        <v>100</v>
      </c>
      <c r="X10" s="1504"/>
      <c r="Y10" s="3434"/>
      <c r="Z10" s="1133" t="str">
        <f t="shared" si="7"/>
        <v>土地使用年限（年）</v>
      </c>
      <c r="AA10" s="1505">
        <f t="shared" si="3"/>
        <v>1</v>
      </c>
      <c r="AB10" s="1505">
        <f t="shared" si="4"/>
        <v>1</v>
      </c>
      <c r="AC10" s="1505">
        <f t="shared" si="5"/>
        <v>1</v>
      </c>
    </row>
    <row r="11" spans="1:29" ht="15">
      <c r="A11" s="2633"/>
      <c r="B11" s="2637"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83"/>
      <c r="Q11" s="1134" t="str">
        <f t="shared" si="6"/>
        <v>容积率</v>
      </c>
      <c r="R11" s="1502" t="s">
        <v>11</v>
      </c>
      <c r="S11" s="1503" t="e">
        <f t="shared" si="0"/>
        <v>#N/A</v>
      </c>
      <c r="T11" s="1502" t="s">
        <v>11</v>
      </c>
      <c r="U11" s="1503" t="e">
        <f t="shared" si="1"/>
        <v>#N/A</v>
      </c>
      <c r="V11" s="1502" t="s">
        <v>11</v>
      </c>
      <c r="W11" s="1503" t="e">
        <f t="shared" si="2"/>
        <v>#N/A</v>
      </c>
      <c r="X11" s="1504"/>
      <c r="Y11" s="343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3"/>
      <c r="Q12" s="1134">
        <f t="shared" si="6"/>
        <v>111</v>
      </c>
      <c r="R12" s="1502" t="s">
        <v>11</v>
      </c>
      <c r="S12" s="1503">
        <f t="shared" si="0"/>
        <v>100</v>
      </c>
      <c r="T12" s="1502" t="s">
        <v>11</v>
      </c>
      <c r="U12" s="1503">
        <f t="shared" si="1"/>
        <v>100</v>
      </c>
      <c r="V12" s="1502" t="s">
        <v>11</v>
      </c>
      <c r="W12" s="1503">
        <f t="shared" si="2"/>
        <v>100</v>
      </c>
      <c r="X12" s="1504"/>
      <c r="Y12" s="3434"/>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3"/>
      <c r="Q13" s="1134">
        <f t="shared" si="6"/>
        <v>111</v>
      </c>
      <c r="R13" s="1502" t="s">
        <v>11</v>
      </c>
      <c r="S13" s="1503">
        <f t="shared" si="0"/>
        <v>100</v>
      </c>
      <c r="T13" s="1502" t="s">
        <v>11</v>
      </c>
      <c r="U13" s="1503">
        <f t="shared" si="1"/>
        <v>100</v>
      </c>
      <c r="V13" s="1502" t="s">
        <v>11</v>
      </c>
      <c r="W13" s="1503">
        <f t="shared" si="2"/>
        <v>100</v>
      </c>
      <c r="X13" s="1504"/>
      <c r="Y13" s="3434"/>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3"/>
      <c r="Q14" s="1134">
        <f t="shared" si="6"/>
        <v>111</v>
      </c>
      <c r="R14" s="1502" t="s">
        <v>11</v>
      </c>
      <c r="S14" s="1503">
        <f t="shared" si="0"/>
        <v>100</v>
      </c>
      <c r="T14" s="1502" t="s">
        <v>11</v>
      </c>
      <c r="U14" s="1503">
        <f t="shared" si="1"/>
        <v>100</v>
      </c>
      <c r="V14" s="1502" t="s">
        <v>11</v>
      </c>
      <c r="W14" s="1503">
        <f t="shared" si="2"/>
        <v>100</v>
      </c>
      <c r="X14" s="1504"/>
      <c r="Y14" s="3434"/>
      <c r="Z14" s="1133">
        <f t="shared" si="7"/>
        <v>111</v>
      </c>
      <c r="AA14" s="1505">
        <f t="shared" si="3"/>
        <v>1</v>
      </c>
      <c r="AB14" s="1505">
        <f t="shared" si="4"/>
        <v>1</v>
      </c>
      <c r="AC14" s="1505">
        <f t="shared" si="5"/>
        <v>1</v>
      </c>
    </row>
    <row r="15" spans="1:29" ht="99.75">
      <c r="A15" s="2627" t="s">
        <v>2733</v>
      </c>
      <c r="B15" s="164" t="s">
        <v>294</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85" t="s">
        <v>533</v>
      </c>
      <c r="Q15" s="1506" t="str">
        <f t="shared" si="6"/>
        <v>居住社区成熟度</v>
      </c>
      <c r="R15" s="1507" t="s">
        <v>11</v>
      </c>
      <c r="S15" s="1508">
        <f t="shared" si="0"/>
        <v>100</v>
      </c>
      <c r="T15" s="1507" t="s">
        <v>11</v>
      </c>
      <c r="U15" s="1508">
        <f t="shared" si="1"/>
        <v>100</v>
      </c>
      <c r="V15" s="1507" t="s">
        <v>11</v>
      </c>
      <c r="W15" s="1508">
        <f t="shared" si="2"/>
        <v>100</v>
      </c>
      <c r="X15" s="1501"/>
      <c r="Y15" s="3485" t="s">
        <v>533</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86"/>
      <c r="Q16" s="1506"/>
      <c r="R16" s="1507"/>
      <c r="S16" s="1508"/>
      <c r="T16" s="1507"/>
      <c r="U16" s="1508"/>
      <c r="V16" s="1507"/>
      <c r="W16" s="1508"/>
      <c r="X16" s="1501"/>
      <c r="Y16" s="3486"/>
      <c r="Z16" s="1509"/>
      <c r="AA16" s="1510">
        <v>1</v>
      </c>
      <c r="AB16" s="1510">
        <v>1</v>
      </c>
      <c r="AC16" s="1510">
        <v>1</v>
      </c>
    </row>
    <row r="17" spans="1:29" ht="85.5">
      <c r="A17" s="526"/>
      <c r="B17" s="860" t="s">
        <v>295</v>
      </c>
      <c r="C17" s="861"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86"/>
      <c r="Q17" s="1506" t="str">
        <f>B17</f>
        <v>交通便捷度</v>
      </c>
      <c r="R17" s="1507" t="s">
        <v>11</v>
      </c>
      <c r="S17" s="1508">
        <f>F17</f>
        <v>100</v>
      </c>
      <c r="T17" s="1507" t="s">
        <v>11</v>
      </c>
      <c r="U17" s="1508">
        <f>H17</f>
        <v>100</v>
      </c>
      <c r="V17" s="1507" t="s">
        <v>11</v>
      </c>
      <c r="W17" s="1508">
        <f>J17</f>
        <v>100</v>
      </c>
      <c r="X17" s="1501"/>
      <c r="Y17" s="348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86"/>
      <c r="Q18" s="1506"/>
      <c r="R18" s="1507"/>
      <c r="S18" s="1508"/>
      <c r="T18" s="1507"/>
      <c r="U18" s="1508"/>
      <c r="V18" s="1507"/>
      <c r="W18" s="1508"/>
      <c r="X18" s="1501"/>
      <c r="Y18" s="3486"/>
      <c r="Z18" s="1509"/>
      <c r="AA18" s="1510">
        <v>1</v>
      </c>
      <c r="AB18" s="1510">
        <v>1</v>
      </c>
      <c r="AC18" s="1510">
        <v>1</v>
      </c>
    </row>
    <row r="19" spans="1:29" ht="42.75">
      <c r="A19" s="526"/>
      <c r="B19" s="2444" t="s">
        <v>2526</v>
      </c>
      <c r="C19" s="861" t="str">
        <f>估价对象房地状况!C7</f>
        <v>较好</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86"/>
      <c r="Q19" s="1506" t="str">
        <f>B19</f>
        <v>公共配套设施</v>
      </c>
      <c r="R19" s="1507" t="s">
        <v>11</v>
      </c>
      <c r="S19" s="1508">
        <f>F19</f>
        <v>100</v>
      </c>
      <c r="T19" s="1507" t="s">
        <v>11</v>
      </c>
      <c r="U19" s="1508">
        <f>H19</f>
        <v>100</v>
      </c>
      <c r="V19" s="1507" t="s">
        <v>11</v>
      </c>
      <c r="W19" s="1508">
        <f>J19</f>
        <v>100</v>
      </c>
      <c r="X19" s="1501"/>
      <c r="Y19" s="348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86"/>
      <c r="Q20" s="1506"/>
      <c r="R20" s="1507"/>
      <c r="S20" s="1508"/>
      <c r="T20" s="1507"/>
      <c r="U20" s="1508"/>
      <c r="V20" s="1507"/>
      <c r="W20" s="1508"/>
      <c r="X20" s="1501"/>
      <c r="Y20" s="3486"/>
      <c r="Z20" s="1509"/>
      <c r="AA20" s="1510">
        <v>1</v>
      </c>
      <c r="AB20" s="1510">
        <v>1</v>
      </c>
      <c r="AC20" s="1510">
        <v>1</v>
      </c>
    </row>
    <row r="21" spans="1:29" ht="28.5">
      <c r="A21" s="526"/>
      <c r="B21" s="2437" t="s">
        <v>2538</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86"/>
      <c r="Q21" s="2429" t="str">
        <f>B21</f>
        <v>基础设施水平</v>
      </c>
      <c r="R21" s="1507" t="s">
        <v>11</v>
      </c>
      <c r="S21" s="1508">
        <f>F21</f>
        <v>100</v>
      </c>
      <c r="T21" s="1507" t="s">
        <v>11</v>
      </c>
      <c r="U21" s="1508">
        <f>H21</f>
        <v>100</v>
      </c>
      <c r="V21" s="1507" t="s">
        <v>11</v>
      </c>
      <c r="W21" s="1508">
        <f>J21</f>
        <v>100</v>
      </c>
      <c r="X21" s="2431"/>
      <c r="Y21" s="348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86"/>
      <c r="Q22" s="2429"/>
      <c r="R22" s="1507"/>
      <c r="S22" s="1508"/>
      <c r="T22" s="1507"/>
      <c r="U22" s="1508"/>
      <c r="V22" s="1507"/>
      <c r="W22" s="1508"/>
      <c r="X22" s="2431"/>
      <c r="Y22" s="3486"/>
      <c r="Z22" s="2430"/>
      <c r="AA22" s="1510">
        <v>1</v>
      </c>
      <c r="AB22" s="1510">
        <v>1</v>
      </c>
      <c r="AC22" s="1510">
        <v>1</v>
      </c>
    </row>
    <row r="23" spans="1:29" ht="57">
      <c r="A23" s="526"/>
      <c r="B23" s="860" t="s">
        <v>296</v>
      </c>
      <c r="C23" s="861"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86"/>
      <c r="Q23" s="1506" t="str">
        <f>B23</f>
        <v>自然及人文环境</v>
      </c>
      <c r="R23" s="1507" t="s">
        <v>11</v>
      </c>
      <c r="S23" s="1508">
        <f>F23</f>
        <v>100</v>
      </c>
      <c r="T23" s="1507" t="s">
        <v>11</v>
      </c>
      <c r="U23" s="1508">
        <f>H23</f>
        <v>100</v>
      </c>
      <c r="V23" s="1507" t="s">
        <v>11</v>
      </c>
      <c r="W23" s="1508">
        <f>J23</f>
        <v>100</v>
      </c>
      <c r="X23" s="1501"/>
      <c r="Y23" s="348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86"/>
      <c r="Q24" s="1506"/>
      <c r="R24" s="1507"/>
      <c r="S24" s="1508"/>
      <c r="T24" s="1507"/>
      <c r="U24" s="1508"/>
      <c r="V24" s="1507"/>
      <c r="W24" s="1508"/>
      <c r="X24" s="1501"/>
      <c r="Y24" s="3486"/>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86"/>
      <c r="Q25" s="1506" t="str">
        <f t="shared" ref="Q25:Q46" si="11">B25</f>
        <v>楼层-1</v>
      </c>
      <c r="R25" s="1507" t="s">
        <v>11</v>
      </c>
      <c r="S25" s="1508">
        <f>F25</f>
        <v>100</v>
      </c>
      <c r="T25" s="1507" t="s">
        <v>11</v>
      </c>
      <c r="U25" s="1508">
        <f>H25</f>
        <v>100</v>
      </c>
      <c r="V25" s="1507" t="s">
        <v>11</v>
      </c>
      <c r="W25" s="1508">
        <f>J25</f>
        <v>100</v>
      </c>
      <c r="X25" s="1501"/>
      <c r="Y25" s="3486"/>
      <c r="Z25" s="1509" t="str">
        <f>Q25</f>
        <v>楼层-1</v>
      </c>
      <c r="AA25" s="1510">
        <f t="shared" si="3"/>
        <v>1</v>
      </c>
      <c r="AB25" s="1510">
        <f t="shared" si="4"/>
        <v>1</v>
      </c>
      <c r="AC25" s="1510">
        <f t="shared" si="5"/>
        <v>1</v>
      </c>
    </row>
    <row r="26" spans="1:29" ht="15">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86"/>
      <c r="Q26" s="1506" t="str">
        <f t="shared" si="11"/>
        <v>朝向</v>
      </c>
      <c r="R26" s="1507" t="s">
        <v>11</v>
      </c>
      <c r="S26" s="1508">
        <f>F26</f>
        <v>100</v>
      </c>
      <c r="T26" s="1507" t="s">
        <v>11</v>
      </c>
      <c r="U26" s="1508">
        <f>H26</f>
        <v>100</v>
      </c>
      <c r="V26" s="1507" t="s">
        <v>11</v>
      </c>
      <c r="W26" s="1508">
        <f>J26</f>
        <v>100</v>
      </c>
      <c r="X26" s="1501"/>
      <c r="Y26" s="3486"/>
      <c r="Z26" s="1509" t="str">
        <f>Q26</f>
        <v>朝向</v>
      </c>
      <c r="AA26" s="1510">
        <f t="shared" si="3"/>
        <v>1</v>
      </c>
      <c r="AB26" s="1510">
        <f t="shared" si="4"/>
        <v>1</v>
      </c>
      <c r="AC26" s="1510">
        <f t="shared" si="5"/>
        <v>1</v>
      </c>
    </row>
    <row r="27" spans="1:29" s="1203" customFormat="1" ht="15">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86"/>
      <c r="Q27" s="1134" t="str">
        <f t="shared" si="11"/>
        <v>道路级别</v>
      </c>
      <c r="R27" s="1502" t="s">
        <v>11</v>
      </c>
      <c r="S27" s="1503">
        <f>F27</f>
        <v>100</v>
      </c>
      <c r="T27" s="1502" t="s">
        <v>11</v>
      </c>
      <c r="U27" s="1503">
        <f>H27</f>
        <v>100</v>
      </c>
      <c r="V27" s="1502" t="s">
        <v>11</v>
      </c>
      <c r="W27" s="1503">
        <f>J27</f>
        <v>100</v>
      </c>
      <c r="X27" s="1504"/>
      <c r="Y27" s="3486"/>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86"/>
      <c r="Q28" s="1506">
        <f t="shared" si="11"/>
        <v>111</v>
      </c>
      <c r="R28" s="1507" t="s">
        <v>11</v>
      </c>
      <c r="S28" s="1508">
        <f t="shared" ref="S28:S46" si="12">F28</f>
        <v>100</v>
      </c>
      <c r="T28" s="1507" t="s">
        <v>11</v>
      </c>
      <c r="U28" s="1508">
        <f t="shared" ref="U28:U46" si="13">H28</f>
        <v>100</v>
      </c>
      <c r="V28" s="1507" t="s">
        <v>11</v>
      </c>
      <c r="W28" s="1508">
        <f t="shared" ref="W28:W46" si="14">J28</f>
        <v>100</v>
      </c>
      <c r="X28" s="1501"/>
      <c r="Y28" s="348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86"/>
      <c r="Q29" s="1506">
        <f t="shared" si="11"/>
        <v>111</v>
      </c>
      <c r="R29" s="1507" t="s">
        <v>11</v>
      </c>
      <c r="S29" s="1508">
        <f t="shared" si="12"/>
        <v>100</v>
      </c>
      <c r="T29" s="1507" t="s">
        <v>11</v>
      </c>
      <c r="U29" s="1508">
        <f t="shared" si="13"/>
        <v>100</v>
      </c>
      <c r="V29" s="1507" t="s">
        <v>11</v>
      </c>
      <c r="W29" s="1508">
        <f t="shared" si="14"/>
        <v>100</v>
      </c>
      <c r="X29" s="1501"/>
      <c r="Y29" s="348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86"/>
      <c r="Q30" s="1506">
        <f t="shared" si="11"/>
        <v>111</v>
      </c>
      <c r="R30" s="1507" t="s">
        <v>11</v>
      </c>
      <c r="S30" s="1508">
        <f t="shared" si="12"/>
        <v>100</v>
      </c>
      <c r="T30" s="1507" t="s">
        <v>11</v>
      </c>
      <c r="U30" s="1508">
        <f t="shared" si="13"/>
        <v>100</v>
      </c>
      <c r="V30" s="1507" t="s">
        <v>11</v>
      </c>
      <c r="W30" s="1508">
        <f t="shared" si="14"/>
        <v>100</v>
      </c>
      <c r="X30" s="1501"/>
      <c r="Y30" s="348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86"/>
      <c r="Q31" s="1506">
        <f t="shared" si="11"/>
        <v>111</v>
      </c>
      <c r="R31" s="1507" t="s">
        <v>11</v>
      </c>
      <c r="S31" s="1508">
        <f t="shared" si="12"/>
        <v>100</v>
      </c>
      <c r="T31" s="1507" t="s">
        <v>11</v>
      </c>
      <c r="U31" s="1508">
        <f t="shared" si="13"/>
        <v>100</v>
      </c>
      <c r="V31" s="1507" t="s">
        <v>11</v>
      </c>
      <c r="W31" s="1508">
        <f t="shared" si="14"/>
        <v>100</v>
      </c>
      <c r="X31" s="1501"/>
      <c r="Y31" s="3486"/>
      <c r="Z31" s="1509">
        <f t="shared" si="15"/>
        <v>111</v>
      </c>
      <c r="AA31" s="1510">
        <f t="shared" si="3"/>
        <v>1</v>
      </c>
      <c r="AB31" s="1510">
        <f t="shared" si="4"/>
        <v>1</v>
      </c>
      <c r="AC31" s="1510">
        <f t="shared" si="5"/>
        <v>1</v>
      </c>
    </row>
    <row r="32" spans="1:29" ht="15">
      <c r="A32" s="2624" t="s">
        <v>2734</v>
      </c>
      <c r="B32" s="170" t="s">
        <v>718</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87" t="s">
        <v>543</v>
      </c>
      <c r="Q32" s="1506" t="str">
        <f t="shared" si="11"/>
        <v>建筑类型</v>
      </c>
      <c r="R32" s="1507" t="s">
        <v>11</v>
      </c>
      <c r="S32" s="1508">
        <f t="shared" si="12"/>
        <v>100</v>
      </c>
      <c r="T32" s="1507" t="s">
        <v>11</v>
      </c>
      <c r="U32" s="1508">
        <f t="shared" si="13"/>
        <v>100</v>
      </c>
      <c r="V32" s="1507" t="s">
        <v>11</v>
      </c>
      <c r="W32" s="1508">
        <f t="shared" si="14"/>
        <v>100</v>
      </c>
      <c r="X32" s="1501"/>
      <c r="Y32" s="3488" t="s">
        <v>543</v>
      </c>
      <c r="Z32" s="1509" t="str">
        <f t="shared" si="15"/>
        <v>建筑类型</v>
      </c>
      <c r="AA32" s="1510">
        <f t="shared" si="3"/>
        <v>1</v>
      </c>
      <c r="AB32" s="1510">
        <f t="shared" si="4"/>
        <v>1</v>
      </c>
      <c r="AC32" s="1510">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88"/>
      <c r="Q33" s="1535" t="str">
        <f t="shared" si="11"/>
        <v>项目建筑规模</v>
      </c>
      <c r="R33" s="1511" t="s">
        <v>11</v>
      </c>
      <c r="S33" s="1512" t="e">
        <f t="shared" si="12"/>
        <v>#N/A</v>
      </c>
      <c r="T33" s="1511" t="s">
        <v>11</v>
      </c>
      <c r="U33" s="1512" t="e">
        <f t="shared" si="13"/>
        <v>#N/A</v>
      </c>
      <c r="V33" s="1511" t="s">
        <v>11</v>
      </c>
      <c r="W33" s="1512" t="e">
        <f t="shared" si="14"/>
        <v>#N/A</v>
      </c>
      <c r="X33" s="1513"/>
      <c r="Y33" s="3488"/>
      <c r="Z33" s="1514" t="str">
        <f t="shared" si="15"/>
        <v>项目建筑规模</v>
      </c>
      <c r="AA33" s="1510" t="e">
        <f t="shared" si="3"/>
        <v>#N/A</v>
      </c>
      <c r="AB33" s="1510" t="e">
        <f t="shared" si="4"/>
        <v>#N/A</v>
      </c>
      <c r="AC33" s="1510"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88"/>
      <c r="Q34" s="1506" t="str">
        <f t="shared" si="11"/>
        <v>建筑结构</v>
      </c>
      <c r="R34" s="1507" t="s">
        <v>11</v>
      </c>
      <c r="S34" s="1508">
        <f t="shared" si="12"/>
        <v>100</v>
      </c>
      <c r="T34" s="1507" t="s">
        <v>11</v>
      </c>
      <c r="U34" s="1508">
        <f t="shared" si="13"/>
        <v>100</v>
      </c>
      <c r="V34" s="1507" t="s">
        <v>11</v>
      </c>
      <c r="W34" s="1508">
        <f t="shared" si="14"/>
        <v>100</v>
      </c>
      <c r="X34" s="1501"/>
      <c r="Y34" s="3488"/>
      <c r="Z34" s="1509" t="str">
        <f t="shared" si="15"/>
        <v>建筑结构</v>
      </c>
      <c r="AA34" s="1510">
        <f t="shared" si="3"/>
        <v>1</v>
      </c>
      <c r="AB34" s="1510">
        <f t="shared" si="4"/>
        <v>1</v>
      </c>
      <c r="AC34" s="1510">
        <f t="shared" si="5"/>
        <v>1</v>
      </c>
    </row>
    <row r="35" spans="1:29" ht="15">
      <c r="A35" s="588"/>
      <c r="B35" s="521" t="s">
        <v>721</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88"/>
      <c r="Q35" s="1506" t="str">
        <f t="shared" si="11"/>
        <v>建筑品质</v>
      </c>
      <c r="R35" s="1507" t="s">
        <v>11</v>
      </c>
      <c r="S35" s="1508">
        <f t="shared" si="12"/>
        <v>100</v>
      </c>
      <c r="T35" s="1507" t="s">
        <v>11</v>
      </c>
      <c r="U35" s="1508">
        <f t="shared" si="13"/>
        <v>100</v>
      </c>
      <c r="V35" s="1507" t="s">
        <v>11</v>
      </c>
      <c r="W35" s="1508">
        <f t="shared" si="14"/>
        <v>100</v>
      </c>
      <c r="X35" s="1501"/>
      <c r="Y35" s="3488"/>
      <c r="Z35" s="1509" t="str">
        <f t="shared" si="15"/>
        <v>建筑品质</v>
      </c>
      <c r="AA35" s="1510">
        <f t="shared" si="3"/>
        <v>1</v>
      </c>
      <c r="AB35" s="1510">
        <f t="shared" si="4"/>
        <v>1</v>
      </c>
      <c r="AC35" s="1510">
        <f t="shared" si="5"/>
        <v>1</v>
      </c>
    </row>
    <row r="36" spans="1:29" ht="15">
      <c r="A36" s="588"/>
      <c r="B36" s="521" t="s">
        <v>722</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88"/>
      <c r="Q36" s="1506" t="str">
        <f t="shared" si="11"/>
        <v>公共部分装修</v>
      </c>
      <c r="R36" s="1507" t="s">
        <v>11</v>
      </c>
      <c r="S36" s="1508">
        <f t="shared" si="12"/>
        <v>100</v>
      </c>
      <c r="T36" s="1507" t="s">
        <v>11</v>
      </c>
      <c r="U36" s="1508">
        <f t="shared" si="13"/>
        <v>100</v>
      </c>
      <c r="V36" s="1507" t="s">
        <v>11</v>
      </c>
      <c r="W36" s="1508">
        <f t="shared" si="14"/>
        <v>100</v>
      </c>
      <c r="X36" s="1501"/>
      <c r="Y36" s="3488"/>
      <c r="Z36" s="1509" t="str">
        <f t="shared" si="15"/>
        <v>公共部分装修</v>
      </c>
      <c r="AA36" s="1510">
        <f t="shared" si="3"/>
        <v>1</v>
      </c>
      <c r="AB36" s="1510">
        <f t="shared" si="4"/>
        <v>1</v>
      </c>
      <c r="AC36" s="1510">
        <f t="shared" si="5"/>
        <v>1</v>
      </c>
    </row>
    <row r="37" spans="1:29" s="1203" customFormat="1" ht="15">
      <c r="A37" s="594"/>
      <c r="B37" s="521" t="s">
        <v>723</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88"/>
      <c r="Q37" s="1134" t="str">
        <f t="shared" si="11"/>
        <v>成新度</v>
      </c>
      <c r="R37" s="1502" t="s">
        <v>11</v>
      </c>
      <c r="S37" s="1503" t="e">
        <f t="shared" si="12"/>
        <v>#N/A</v>
      </c>
      <c r="T37" s="1502" t="s">
        <v>11</v>
      </c>
      <c r="U37" s="1503" t="e">
        <f t="shared" si="13"/>
        <v>#N/A</v>
      </c>
      <c r="V37" s="1502" t="s">
        <v>11</v>
      </c>
      <c r="W37" s="1503" t="e">
        <f t="shared" si="14"/>
        <v>#N/A</v>
      </c>
      <c r="X37" s="1504"/>
      <c r="Y37" s="3488"/>
      <c r="Z37" s="1133" t="str">
        <f t="shared" si="15"/>
        <v>成新度</v>
      </c>
      <c r="AA37" s="1505" t="e">
        <f t="shared" si="3"/>
        <v>#N/A</v>
      </c>
      <c r="AB37" s="1505" t="e">
        <f t="shared" si="4"/>
        <v>#N/A</v>
      </c>
      <c r="AC37" s="1505" t="e">
        <f t="shared" si="5"/>
        <v>#N/A</v>
      </c>
    </row>
    <row r="38" spans="1:29" ht="15">
      <c r="A38" s="588"/>
      <c r="B38" s="521" t="s">
        <v>724</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88" t="s">
        <v>543</v>
      </c>
      <c r="Q38" s="1506" t="str">
        <f t="shared" si="11"/>
        <v>物业管理</v>
      </c>
      <c r="R38" s="1507" t="s">
        <v>11</v>
      </c>
      <c r="S38" s="1508">
        <f t="shared" si="12"/>
        <v>100</v>
      </c>
      <c r="T38" s="1507" t="s">
        <v>11</v>
      </c>
      <c r="U38" s="1508">
        <f t="shared" si="13"/>
        <v>100</v>
      </c>
      <c r="V38" s="1507" t="s">
        <v>11</v>
      </c>
      <c r="W38" s="1508">
        <f t="shared" si="14"/>
        <v>100</v>
      </c>
      <c r="X38" s="1501"/>
      <c r="Y38" s="3488" t="s">
        <v>543</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88"/>
      <c r="Q39" s="1506" t="str">
        <f t="shared" si="11"/>
        <v>市政基础设施</v>
      </c>
      <c r="R39" s="1507" t="s">
        <v>11</v>
      </c>
      <c r="S39" s="1508">
        <f t="shared" si="12"/>
        <v>100</v>
      </c>
      <c r="T39" s="1507" t="s">
        <v>11</v>
      </c>
      <c r="U39" s="1508">
        <f t="shared" si="13"/>
        <v>100</v>
      </c>
      <c r="V39" s="1507" t="s">
        <v>11</v>
      </c>
      <c r="W39" s="1508">
        <f t="shared" si="14"/>
        <v>100</v>
      </c>
      <c r="X39" s="1501"/>
      <c r="Y39" s="3488"/>
      <c r="Z39" s="1509" t="str">
        <f t="shared" si="15"/>
        <v>市政基础设施</v>
      </c>
      <c r="AA39" s="1510">
        <f t="shared" si="3"/>
        <v>1</v>
      </c>
      <c r="AB39" s="1510">
        <f t="shared" si="4"/>
        <v>1</v>
      </c>
      <c r="AC39" s="1510">
        <f t="shared" si="5"/>
        <v>1</v>
      </c>
    </row>
    <row r="40" spans="1:29" ht="15">
      <c r="A40" s="588"/>
      <c r="B40" s="521" t="s">
        <v>725</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88"/>
      <c r="Q40" s="1506" t="str">
        <f t="shared" si="11"/>
        <v>房型</v>
      </c>
      <c r="R40" s="1507" t="s">
        <v>11</v>
      </c>
      <c r="S40" s="1508">
        <f t="shared" si="12"/>
        <v>100</v>
      </c>
      <c r="T40" s="1507" t="s">
        <v>11</v>
      </c>
      <c r="U40" s="1508">
        <f t="shared" si="13"/>
        <v>100</v>
      </c>
      <c r="V40" s="1507" t="s">
        <v>11</v>
      </c>
      <c r="W40" s="1508">
        <f t="shared" si="14"/>
        <v>100</v>
      </c>
      <c r="X40" s="1501"/>
      <c r="Y40" s="3488"/>
      <c r="Z40" s="1509" t="str">
        <f t="shared" si="15"/>
        <v>房型</v>
      </c>
      <c r="AA40" s="1510">
        <f t="shared" si="3"/>
        <v>1</v>
      </c>
      <c r="AB40" s="1510">
        <f t="shared" si="4"/>
        <v>1</v>
      </c>
      <c r="AC40" s="1510">
        <f t="shared" si="5"/>
        <v>1</v>
      </c>
    </row>
    <row r="41" spans="1:29" s="1293" customFormat="1" ht="28.5">
      <c r="A41" s="597"/>
      <c r="B41" s="521" t="s">
        <v>726</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88"/>
      <c r="Q41" s="1535" t="str">
        <f t="shared" si="11"/>
        <v>单套/主力户型建筑面积</v>
      </c>
      <c r="R41" s="1511" t="s">
        <v>11</v>
      </c>
      <c r="S41" s="1512">
        <f t="shared" si="12"/>
        <v>100</v>
      </c>
      <c r="T41" s="1511" t="s">
        <v>11</v>
      </c>
      <c r="U41" s="1512">
        <f t="shared" si="13"/>
        <v>100</v>
      </c>
      <c r="V41" s="1511" t="s">
        <v>11</v>
      </c>
      <c r="W41" s="1512">
        <f t="shared" si="14"/>
        <v>100</v>
      </c>
      <c r="X41" s="1513"/>
      <c r="Y41" s="3488"/>
      <c r="Z41" s="1514" t="str">
        <f t="shared" si="15"/>
        <v>单套/主力户型建筑面积</v>
      </c>
      <c r="AA41" s="1510">
        <f t="shared" si="3"/>
        <v>1</v>
      </c>
      <c r="AB41" s="1510">
        <f t="shared" si="4"/>
        <v>1</v>
      </c>
      <c r="AC41" s="1510">
        <f t="shared" si="5"/>
        <v>1</v>
      </c>
    </row>
    <row r="42" spans="1:29" ht="15">
      <c r="A42" s="588"/>
      <c r="B42" s="521" t="s">
        <v>727</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88"/>
      <c r="Q42" s="1506" t="str">
        <f t="shared" si="11"/>
        <v>内部装修</v>
      </c>
      <c r="R42" s="1507" t="s">
        <v>11</v>
      </c>
      <c r="S42" s="1508">
        <f t="shared" si="12"/>
        <v>100</v>
      </c>
      <c r="T42" s="1507" t="s">
        <v>11</v>
      </c>
      <c r="U42" s="1508">
        <f t="shared" si="13"/>
        <v>100</v>
      </c>
      <c r="V42" s="1507" t="s">
        <v>11</v>
      </c>
      <c r="W42" s="1508">
        <f t="shared" si="14"/>
        <v>100</v>
      </c>
      <c r="X42" s="1501"/>
      <c r="Y42" s="3488"/>
      <c r="Z42" s="1509" t="str">
        <f t="shared" si="15"/>
        <v>内部装修</v>
      </c>
      <c r="AA42" s="1510">
        <f t="shared" si="3"/>
        <v>1</v>
      </c>
      <c r="AB42" s="1510">
        <f t="shared" si="4"/>
        <v>1</v>
      </c>
      <c r="AC42" s="1510">
        <f t="shared" si="5"/>
        <v>1</v>
      </c>
    </row>
    <row r="43" spans="1:29" ht="27">
      <c r="A43" s="588"/>
      <c r="B43" s="521" t="s">
        <v>728</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88"/>
      <c r="Q43" s="1506" t="str">
        <f t="shared" si="11"/>
        <v>内部装修维护情况</v>
      </c>
      <c r="R43" s="1507" t="s">
        <v>11</v>
      </c>
      <c r="S43" s="1508">
        <f t="shared" si="12"/>
        <v>100</v>
      </c>
      <c r="T43" s="1507" t="s">
        <v>11</v>
      </c>
      <c r="U43" s="1508">
        <f t="shared" si="13"/>
        <v>100</v>
      </c>
      <c r="V43" s="1507" t="s">
        <v>11</v>
      </c>
      <c r="W43" s="1508">
        <f t="shared" si="14"/>
        <v>100</v>
      </c>
      <c r="X43" s="1501"/>
      <c r="Y43" s="348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88"/>
      <c r="Q44" s="1134">
        <f t="shared" si="11"/>
        <v>111</v>
      </c>
      <c r="R44" s="1502" t="s">
        <v>11</v>
      </c>
      <c r="S44" s="1503">
        <f t="shared" si="12"/>
        <v>100</v>
      </c>
      <c r="T44" s="1502" t="s">
        <v>11</v>
      </c>
      <c r="U44" s="1503">
        <f t="shared" si="13"/>
        <v>100</v>
      </c>
      <c r="V44" s="1502" t="s">
        <v>11</v>
      </c>
      <c r="W44" s="1503">
        <f t="shared" si="14"/>
        <v>100</v>
      </c>
      <c r="X44" s="1504"/>
      <c r="Y44" s="348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88"/>
      <c r="Q45" s="1506">
        <f t="shared" si="11"/>
        <v>111</v>
      </c>
      <c r="R45" s="1507" t="s">
        <v>11</v>
      </c>
      <c r="S45" s="1508">
        <f t="shared" si="12"/>
        <v>100</v>
      </c>
      <c r="T45" s="1507" t="s">
        <v>11</v>
      </c>
      <c r="U45" s="1508">
        <f t="shared" si="13"/>
        <v>100</v>
      </c>
      <c r="V45" s="1507" t="s">
        <v>11</v>
      </c>
      <c r="W45" s="1508">
        <f t="shared" si="14"/>
        <v>100</v>
      </c>
      <c r="X45" s="1501"/>
      <c r="Y45" s="3488"/>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9"/>
      <c r="Q46" s="1506">
        <f t="shared" si="11"/>
        <v>111</v>
      </c>
      <c r="R46" s="1507" t="s">
        <v>10</v>
      </c>
      <c r="S46" s="1508">
        <f t="shared" si="12"/>
        <v>100</v>
      </c>
      <c r="T46" s="1507" t="s">
        <v>10</v>
      </c>
      <c r="U46" s="1508">
        <f t="shared" si="13"/>
        <v>100</v>
      </c>
      <c r="V46" s="1507" t="s">
        <v>10</v>
      </c>
      <c r="W46" s="1508">
        <f t="shared" si="14"/>
        <v>100</v>
      </c>
      <c r="X46" s="1501"/>
      <c r="Y46" s="3589"/>
      <c r="Z46" s="1509">
        <f t="shared" si="15"/>
        <v>111</v>
      </c>
      <c r="AA46" s="1510">
        <f t="shared" si="3"/>
        <v>1</v>
      </c>
      <c r="AB46" s="1510">
        <f t="shared" si="4"/>
        <v>1</v>
      </c>
      <c r="AC46" s="1510">
        <f t="shared" si="5"/>
        <v>1</v>
      </c>
    </row>
    <row r="47" spans="1:29" ht="15">
      <c r="A47" s="601" t="s">
        <v>729</v>
      </c>
      <c r="B47" s="876"/>
      <c r="C47" s="2470" t="s">
        <v>9</v>
      </c>
      <c r="D47" s="2471"/>
      <c r="E47" s="2472"/>
      <c r="F47" s="2473"/>
      <c r="G47" s="2474"/>
      <c r="H47" s="2475"/>
      <c r="I47" s="2472"/>
      <c r="J47" s="2475"/>
      <c r="K47" s="1536"/>
      <c r="L47" s="2026"/>
      <c r="M47" s="2027"/>
      <c r="N47" s="2016"/>
      <c r="O47" s="2027"/>
      <c r="P47" s="3483" t="str">
        <f>A47</f>
        <v>成交单价（元/平方米）</v>
      </c>
      <c r="Q47" s="3483"/>
      <c r="R47" s="3588">
        <f>E47</f>
        <v>0</v>
      </c>
      <c r="S47" s="3588"/>
      <c r="T47" s="3588">
        <f>G47</f>
        <v>0</v>
      </c>
      <c r="U47" s="3588"/>
      <c r="V47" s="3588">
        <f>I47</f>
        <v>0</v>
      </c>
      <c r="W47" s="3588"/>
      <c r="X47" s="1496"/>
      <c r="Y47" s="1515"/>
      <c r="Z47" s="1496"/>
      <c r="AA47" s="1496"/>
      <c r="AB47" s="1496"/>
      <c r="AC47" s="1496"/>
    </row>
    <row r="48" spans="1:29" ht="15.75" thickBot="1">
      <c r="A48" s="609" t="s">
        <v>2739</v>
      </c>
      <c r="B48" s="877"/>
      <c r="C48" s="2476" t="e">
        <f>R49</f>
        <v>#DIV/0!</v>
      </c>
      <c r="D48" s="3013" t="s">
        <v>2965</v>
      </c>
      <c r="E48" s="2477" t="e">
        <f>R48</f>
        <v>#DIV/0!</v>
      </c>
      <c r="F48" s="3014"/>
      <c r="G48" s="2476" t="e">
        <f>T48</f>
        <v>#DIV/0!</v>
      </c>
      <c r="H48" s="3014"/>
      <c r="I48" s="2477" t="e">
        <f>V48</f>
        <v>#DIV/0!</v>
      </c>
      <c r="J48" s="3014"/>
      <c r="K48" s="3022">
        <f>F48+H48+J48</f>
        <v>0</v>
      </c>
      <c r="L48" s="2026"/>
      <c r="M48" s="2027"/>
      <c r="N48" s="2027"/>
      <c r="O48" s="2027"/>
      <c r="P48" s="3483" t="str">
        <f>A48</f>
        <v>比较价格（元/平方米）</v>
      </c>
      <c r="Q48" s="3483"/>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37"/>
      <c r="L49" s="2026"/>
      <c r="M49" s="2027"/>
      <c r="N49" s="2027"/>
      <c r="O49" s="2027"/>
      <c r="P49" s="3504" t="str">
        <f>A49</f>
        <v>估价对象XX用房的比较价格（楼面单价，元/平方米）</v>
      </c>
      <c r="Q49" s="3505"/>
      <c r="R49" s="3587" t="e">
        <f>IF(F1="售价",ROUND(IF(D48="简单平均",AVERAGE(R48:V48),R48*F48+T48*H48+V48*J48),0),ROUND(IF(D48="简单平均",AVERAGE(R48:V48),R48*F48+T48*H48+V48*J48),1))</f>
        <v>#DIV/0!</v>
      </c>
      <c r="S49" s="3587"/>
      <c r="T49" s="3587"/>
      <c r="U49" s="3587"/>
      <c r="V49" s="3587"/>
      <c r="W49" s="3587"/>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21"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739</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740</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747</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726</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750</v>
      </c>
      <c r="C1" s="498" t="s">
        <v>713</v>
      </c>
      <c r="D1" s="2225"/>
      <c r="E1" s="500"/>
      <c r="F1" s="2524"/>
      <c r="G1" s="1531" t="s">
        <v>714</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512</v>
      </c>
      <c r="B3" s="504" t="e">
        <f>C49</f>
        <v>#DIV/0!</v>
      </c>
      <c r="C3" s="841" t="s">
        <v>715</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514</v>
      </c>
      <c r="B4" s="507"/>
      <c r="C4" s="3489" t="s">
        <v>515</v>
      </c>
      <c r="D4" s="3490"/>
      <c r="E4" s="3514" t="s">
        <v>516</v>
      </c>
      <c r="F4" s="3515"/>
      <c r="G4" s="3489" t="s">
        <v>517</v>
      </c>
      <c r="H4" s="3490"/>
      <c r="I4" s="3489" t="s">
        <v>518</v>
      </c>
      <c r="J4" s="3490"/>
      <c r="K4" s="508" t="s">
        <v>519</v>
      </c>
      <c r="L4" s="2015"/>
      <c r="M4" s="2016"/>
      <c r="N4" s="2016"/>
      <c r="O4" s="2016"/>
      <c r="P4" s="3491" t="s">
        <v>520</v>
      </c>
      <c r="Q4" s="3492"/>
      <c r="R4" s="3477" t="s">
        <v>516</v>
      </c>
      <c r="S4" s="3478"/>
      <c r="T4" s="3477" t="s">
        <v>517</v>
      </c>
      <c r="U4" s="3478"/>
      <c r="V4" s="3497" t="s">
        <v>518</v>
      </c>
      <c r="W4" s="3497"/>
      <c r="X4" s="1501"/>
      <c r="Y4" s="3477" t="s">
        <v>520</v>
      </c>
      <c r="Z4" s="3478"/>
      <c r="AA4" s="3472" t="s">
        <v>516</v>
      </c>
      <c r="AB4" s="3497" t="s">
        <v>517</v>
      </c>
      <c r="AC4" s="3472" t="s">
        <v>518</v>
      </c>
    </row>
    <row r="5" spans="1:29" ht="15">
      <c r="A5" s="509"/>
      <c r="B5" s="510"/>
      <c r="C5" s="3500" t="s">
        <v>2891</v>
      </c>
      <c r="D5" s="3501"/>
      <c r="E5" s="3516" t="s">
        <v>2892</v>
      </c>
      <c r="F5" s="3517"/>
      <c r="G5" s="3500" t="s">
        <v>2893</v>
      </c>
      <c r="H5" s="3501"/>
      <c r="I5" s="3500" t="s">
        <v>2894</v>
      </c>
      <c r="J5" s="3501"/>
      <c r="K5" s="508"/>
      <c r="L5" s="2015"/>
      <c r="M5" s="2016"/>
      <c r="N5" s="2016"/>
      <c r="O5" s="2016"/>
      <c r="P5" s="3493"/>
      <c r="Q5" s="3494"/>
      <c r="R5" s="3479"/>
      <c r="S5" s="3480"/>
      <c r="T5" s="3479"/>
      <c r="U5" s="3480"/>
      <c r="V5" s="3497"/>
      <c r="W5" s="3497"/>
      <c r="X5" s="1501"/>
      <c r="Y5" s="3479"/>
      <c r="Z5" s="3480"/>
      <c r="AA5" s="3473"/>
      <c r="AB5" s="3497"/>
      <c r="AC5" s="3473"/>
    </row>
    <row r="6" spans="1:29" ht="15.75" thickBot="1">
      <c r="A6" s="511"/>
      <c r="B6" s="512"/>
      <c r="C6" s="3498" t="s">
        <v>2895</v>
      </c>
      <c r="D6" s="3499"/>
      <c r="E6" s="3518" t="s">
        <v>2895</v>
      </c>
      <c r="F6" s="3519"/>
      <c r="G6" s="3498" t="s">
        <v>2895</v>
      </c>
      <c r="H6" s="3499"/>
      <c r="I6" s="3498" t="s">
        <v>2895</v>
      </c>
      <c r="J6" s="3499"/>
      <c r="K6" s="508" t="s">
        <v>521</v>
      </c>
      <c r="L6" s="2015"/>
      <c r="M6" s="2016"/>
      <c r="N6" s="2016"/>
      <c r="O6" s="2016"/>
      <c r="P6" s="3495"/>
      <c r="Q6" s="3496"/>
      <c r="R6" s="3479"/>
      <c r="S6" s="3480"/>
      <c r="T6" s="3481"/>
      <c r="U6" s="3482"/>
      <c r="V6" s="3497"/>
      <c r="W6" s="3497"/>
      <c r="X6" s="1501"/>
      <c r="Y6" s="3481"/>
      <c r="Z6" s="3482"/>
      <c r="AA6" s="3474"/>
      <c r="AB6" s="3497"/>
      <c r="AC6" s="3474"/>
    </row>
    <row r="7" spans="1:29" s="1203" customFormat="1" ht="15.75" thickBot="1">
      <c r="A7" s="2629"/>
      <c r="B7" s="2636" t="s">
        <v>522</v>
      </c>
      <c r="C7" s="513">
        <f>'数据-取费表'!B2</f>
        <v>44448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75" t="s">
        <v>523</v>
      </c>
      <c r="Q7" s="3484"/>
      <c r="R7" s="1502" t="s">
        <v>8</v>
      </c>
      <c r="S7" s="1503">
        <f t="shared" ref="S7:S15" si="0">F7</f>
        <v>0</v>
      </c>
      <c r="T7" s="1502" t="s">
        <v>8</v>
      </c>
      <c r="U7" s="1503">
        <f t="shared" ref="U7:U15" si="1">H7</f>
        <v>0</v>
      </c>
      <c r="V7" s="1502" t="s">
        <v>8</v>
      </c>
      <c r="W7" s="1503">
        <f t="shared" ref="W7:W15" si="2">J7</f>
        <v>0</v>
      </c>
      <c r="X7" s="1504"/>
      <c r="Y7" s="3475" t="s">
        <v>523</v>
      </c>
      <c r="Z7" s="3476"/>
      <c r="AA7" s="1505" t="e">
        <f>D7/F7</f>
        <v>#DIV/0!</v>
      </c>
      <c r="AB7" s="1505" t="e">
        <f>D7/H7</f>
        <v>#DIV/0!</v>
      </c>
      <c r="AC7" s="1505" t="e">
        <f>D7/J7</f>
        <v>#DIV/0!</v>
      </c>
    </row>
    <row r="8" spans="1:29" s="1203" customFormat="1" ht="15.75" thickBot="1">
      <c r="A8" s="2630"/>
      <c r="B8" s="2637" t="s">
        <v>524</v>
      </c>
      <c r="C8" s="519" t="s">
        <v>569</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75" t="s">
        <v>526</v>
      </c>
      <c r="Q8" s="3476"/>
      <c r="R8" s="1502" t="s">
        <v>8</v>
      </c>
      <c r="S8" s="1503">
        <f t="shared" si="0"/>
        <v>0</v>
      </c>
      <c r="T8" s="1502" t="s">
        <v>8</v>
      </c>
      <c r="U8" s="1503">
        <f t="shared" si="1"/>
        <v>0</v>
      </c>
      <c r="V8" s="1502" t="s">
        <v>8</v>
      </c>
      <c r="W8" s="1503">
        <f t="shared" si="2"/>
        <v>0</v>
      </c>
      <c r="X8" s="1504"/>
      <c r="Y8" s="3475" t="s">
        <v>526</v>
      </c>
      <c r="Z8" s="3476"/>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3" t="s">
        <v>528</v>
      </c>
      <c r="Q9" s="1134" t="str">
        <f t="shared" ref="Q9:Q15" si="6">B9</f>
        <v>用途</v>
      </c>
      <c r="R9" s="1502" t="s">
        <v>8</v>
      </c>
      <c r="S9" s="1503">
        <f t="shared" si="0"/>
        <v>100</v>
      </c>
      <c r="T9" s="1502" t="s">
        <v>8</v>
      </c>
      <c r="U9" s="1503">
        <f t="shared" si="1"/>
        <v>100</v>
      </c>
      <c r="V9" s="1502" t="s">
        <v>8</v>
      </c>
      <c r="W9" s="1503">
        <f t="shared" si="2"/>
        <v>100</v>
      </c>
      <c r="X9" s="1504"/>
      <c r="Y9" s="3434"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3"/>
      <c r="Q10" s="1134" t="str">
        <f t="shared" si="6"/>
        <v>土地使用年限（年）</v>
      </c>
      <c r="R10" s="1502" t="s">
        <v>8</v>
      </c>
      <c r="S10" s="1503">
        <f t="shared" si="0"/>
        <v>100</v>
      </c>
      <c r="T10" s="1502" t="s">
        <v>8</v>
      </c>
      <c r="U10" s="1503">
        <f t="shared" si="1"/>
        <v>100</v>
      </c>
      <c r="V10" s="1502" t="s">
        <v>8</v>
      </c>
      <c r="W10" s="1503">
        <f t="shared" si="2"/>
        <v>100</v>
      </c>
      <c r="X10" s="1504"/>
      <c r="Y10" s="3434"/>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3"/>
      <c r="Q11" s="1134" t="str">
        <f t="shared" si="6"/>
        <v>容积率</v>
      </c>
      <c r="R11" s="1502" t="s">
        <v>8</v>
      </c>
      <c r="S11" s="1503" t="e">
        <f t="shared" si="0"/>
        <v>#N/A</v>
      </c>
      <c r="T11" s="1502" t="s">
        <v>8</v>
      </c>
      <c r="U11" s="1503" t="e">
        <f t="shared" si="1"/>
        <v>#N/A</v>
      </c>
      <c r="V11" s="1502" t="s">
        <v>8</v>
      </c>
      <c r="W11" s="1503" t="e">
        <f t="shared" si="2"/>
        <v>#N/A</v>
      </c>
      <c r="X11" s="1504"/>
      <c r="Y11" s="343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83"/>
      <c r="Q12" s="1134">
        <f t="shared" si="6"/>
        <v>111</v>
      </c>
      <c r="R12" s="1502" t="s">
        <v>8</v>
      </c>
      <c r="S12" s="1503">
        <f t="shared" si="0"/>
        <v>100</v>
      </c>
      <c r="T12" s="1502" t="s">
        <v>8</v>
      </c>
      <c r="U12" s="1503">
        <f t="shared" si="1"/>
        <v>100</v>
      </c>
      <c r="V12" s="1502" t="s">
        <v>8</v>
      </c>
      <c r="W12" s="1503">
        <f t="shared" si="2"/>
        <v>100</v>
      </c>
      <c r="X12" s="1504"/>
      <c r="Y12" s="3434"/>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83"/>
      <c r="Q13" s="1134">
        <f t="shared" si="6"/>
        <v>111</v>
      </c>
      <c r="R13" s="1502" t="s">
        <v>8</v>
      </c>
      <c r="S13" s="1503">
        <f t="shared" si="0"/>
        <v>100</v>
      </c>
      <c r="T13" s="1502" t="s">
        <v>8</v>
      </c>
      <c r="U13" s="1503">
        <f t="shared" si="1"/>
        <v>100</v>
      </c>
      <c r="V13" s="1502" t="s">
        <v>8</v>
      </c>
      <c r="W13" s="1503">
        <f t="shared" si="2"/>
        <v>100</v>
      </c>
      <c r="X13" s="1504"/>
      <c r="Y13" s="3434"/>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83"/>
      <c r="Q14" s="1134">
        <f t="shared" si="6"/>
        <v>111</v>
      </c>
      <c r="R14" s="1502" t="s">
        <v>8</v>
      </c>
      <c r="S14" s="1503">
        <f t="shared" si="0"/>
        <v>100</v>
      </c>
      <c r="T14" s="1502" t="s">
        <v>8</v>
      </c>
      <c r="U14" s="1503">
        <f t="shared" si="1"/>
        <v>100</v>
      </c>
      <c r="V14" s="1502" t="s">
        <v>8</v>
      </c>
      <c r="W14" s="1503">
        <f t="shared" si="2"/>
        <v>100</v>
      </c>
      <c r="X14" s="1504"/>
      <c r="Y14" s="3434"/>
      <c r="Z14" s="1133">
        <f t="shared" si="7"/>
        <v>111</v>
      </c>
      <c r="AA14" s="1505">
        <f t="shared" si="3"/>
        <v>1</v>
      </c>
      <c r="AB14" s="1505">
        <f t="shared" si="4"/>
        <v>1</v>
      </c>
      <c r="AC14" s="1505">
        <f t="shared" si="5"/>
        <v>1</v>
      </c>
    </row>
    <row r="15" spans="1:29" ht="71.25">
      <c r="A15" s="2627" t="s">
        <v>2733</v>
      </c>
      <c r="B15" s="164" t="s">
        <v>534</v>
      </c>
      <c r="C15" s="856" t="str">
        <f>估价对象房地状况!C4</f>
        <v>一般</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85" t="s">
        <v>533</v>
      </c>
      <c r="Q15" s="1506" t="str">
        <f t="shared" si="6"/>
        <v>商业繁华度</v>
      </c>
      <c r="R15" s="1507" t="s">
        <v>8</v>
      </c>
      <c r="S15" s="1508">
        <f t="shared" si="0"/>
        <v>100</v>
      </c>
      <c r="T15" s="1507" t="s">
        <v>8</v>
      </c>
      <c r="U15" s="1508">
        <f t="shared" si="1"/>
        <v>100</v>
      </c>
      <c r="V15" s="1507" t="s">
        <v>8</v>
      </c>
      <c r="W15" s="1508">
        <f t="shared" si="2"/>
        <v>100</v>
      </c>
      <c r="X15" s="1501"/>
      <c r="Y15" s="3485" t="s">
        <v>533</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86"/>
      <c r="Q16" s="1506"/>
      <c r="R16" s="1507"/>
      <c r="S16" s="1508"/>
      <c r="T16" s="1507"/>
      <c r="U16" s="1508"/>
      <c r="V16" s="1507"/>
      <c r="W16" s="1508"/>
      <c r="X16" s="1501"/>
      <c r="Y16" s="3486"/>
      <c r="Z16" s="1509"/>
      <c r="AA16" s="1510">
        <v>1</v>
      </c>
      <c r="AB16" s="1510">
        <v>1</v>
      </c>
      <c r="AC16" s="1510">
        <v>1</v>
      </c>
    </row>
    <row r="17" spans="1:29" ht="85.5">
      <c r="A17" s="526"/>
      <c r="B17" s="860" t="s">
        <v>295</v>
      </c>
      <c r="C17" s="861"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86"/>
      <c r="Q17" s="1506" t="str">
        <f>B17</f>
        <v>交通便捷度</v>
      </c>
      <c r="R17" s="1507" t="s">
        <v>8</v>
      </c>
      <c r="S17" s="1508">
        <f>F17</f>
        <v>100</v>
      </c>
      <c r="T17" s="1507" t="s">
        <v>8</v>
      </c>
      <c r="U17" s="1508">
        <f>H17</f>
        <v>100</v>
      </c>
      <c r="V17" s="1507" t="s">
        <v>8</v>
      </c>
      <c r="W17" s="1508">
        <f>J17</f>
        <v>100</v>
      </c>
      <c r="X17" s="1501"/>
      <c r="Y17" s="348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86"/>
      <c r="Q18" s="1506"/>
      <c r="R18" s="1507"/>
      <c r="S18" s="1508"/>
      <c r="T18" s="1507"/>
      <c r="U18" s="1508"/>
      <c r="V18" s="1507"/>
      <c r="W18" s="1508"/>
      <c r="X18" s="1501"/>
      <c r="Y18" s="3486"/>
      <c r="Z18" s="1509"/>
      <c r="AA18" s="1510">
        <v>1</v>
      </c>
      <c r="AB18" s="1510">
        <v>1</v>
      </c>
      <c r="AC18" s="1510">
        <v>1</v>
      </c>
    </row>
    <row r="19" spans="1:29" ht="42.75">
      <c r="A19" s="526"/>
      <c r="B19" s="2444" t="s">
        <v>2526</v>
      </c>
      <c r="C19" s="861" t="str">
        <f>估价对象房地状况!C7</f>
        <v>较好</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86"/>
      <c r="Q19" s="1506" t="str">
        <f>B19</f>
        <v>公共配套设施</v>
      </c>
      <c r="R19" s="1507" t="s">
        <v>8</v>
      </c>
      <c r="S19" s="1508">
        <f>F19</f>
        <v>100</v>
      </c>
      <c r="T19" s="1507" t="s">
        <v>8</v>
      </c>
      <c r="U19" s="1508">
        <f>H19</f>
        <v>100</v>
      </c>
      <c r="V19" s="1507" t="s">
        <v>8</v>
      </c>
      <c r="W19" s="1508">
        <f>J19</f>
        <v>100</v>
      </c>
      <c r="X19" s="1501"/>
      <c r="Y19" s="348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86"/>
      <c r="Q20" s="1506"/>
      <c r="R20" s="1507"/>
      <c r="S20" s="1508"/>
      <c r="T20" s="1507"/>
      <c r="U20" s="1508"/>
      <c r="V20" s="1507"/>
      <c r="W20" s="1508"/>
      <c r="X20" s="1501"/>
      <c r="Y20" s="3486"/>
      <c r="Z20" s="1509"/>
      <c r="AA20" s="1510">
        <v>1</v>
      </c>
      <c r="AB20" s="1510">
        <v>1</v>
      </c>
      <c r="AC20" s="1510">
        <v>1</v>
      </c>
    </row>
    <row r="21" spans="1:29" ht="28.5">
      <c r="A21" s="526"/>
      <c r="B21" s="2437" t="s">
        <v>2538</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86"/>
      <c r="Q21" s="2429" t="str">
        <f>B21</f>
        <v>基础设施水平</v>
      </c>
      <c r="R21" s="1507" t="s">
        <v>8</v>
      </c>
      <c r="S21" s="1508">
        <f>F21</f>
        <v>100</v>
      </c>
      <c r="T21" s="1507" t="s">
        <v>8</v>
      </c>
      <c r="U21" s="1508">
        <f>H21</f>
        <v>100</v>
      </c>
      <c r="V21" s="1507" t="s">
        <v>8</v>
      </c>
      <c r="W21" s="1508">
        <f>J21</f>
        <v>100</v>
      </c>
      <c r="X21" s="2431"/>
      <c r="Y21" s="348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86"/>
      <c r="Q22" s="2429"/>
      <c r="R22" s="1507"/>
      <c r="S22" s="1508"/>
      <c r="T22" s="1507"/>
      <c r="U22" s="1508"/>
      <c r="V22" s="1507"/>
      <c r="W22" s="1508"/>
      <c r="X22" s="2431"/>
      <c r="Y22" s="3486"/>
      <c r="Z22" s="2430"/>
      <c r="AA22" s="1510">
        <v>1</v>
      </c>
      <c r="AB22" s="1510">
        <v>1</v>
      </c>
      <c r="AC22" s="1510">
        <v>1</v>
      </c>
    </row>
    <row r="23" spans="1:29" ht="57">
      <c r="A23" s="526"/>
      <c r="B23" s="860" t="s">
        <v>296</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86"/>
      <c r="Q23" s="1506" t="str">
        <f>B23</f>
        <v>自然及人文环境</v>
      </c>
      <c r="R23" s="1507" t="s">
        <v>8</v>
      </c>
      <c r="S23" s="1508">
        <f>F23</f>
        <v>100</v>
      </c>
      <c r="T23" s="1507" t="s">
        <v>8</v>
      </c>
      <c r="U23" s="1508">
        <f>H23</f>
        <v>100</v>
      </c>
      <c r="V23" s="1507" t="s">
        <v>8</v>
      </c>
      <c r="W23" s="1508">
        <f>J23</f>
        <v>100</v>
      </c>
      <c r="X23" s="1501"/>
      <c r="Y23" s="348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86"/>
      <c r="Q24" s="1506"/>
      <c r="R24" s="1507"/>
      <c r="S24" s="1508"/>
      <c r="T24" s="1507"/>
      <c r="U24" s="1508"/>
      <c r="V24" s="1507"/>
      <c r="W24" s="1508"/>
      <c r="X24" s="1501"/>
      <c r="Y24" s="3486"/>
      <c r="Z24" s="1509"/>
      <c r="AA24" s="1510">
        <v>1</v>
      </c>
      <c r="AB24" s="1510">
        <v>1</v>
      </c>
      <c r="AC24" s="1510">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86"/>
      <c r="Q25" s="1506" t="str">
        <f t="shared" ref="Q25:Q46" si="11">B25</f>
        <v>临街状况</v>
      </c>
      <c r="R25" s="1507" t="s">
        <v>8</v>
      </c>
      <c r="S25" s="1508">
        <f>F25</f>
        <v>100</v>
      </c>
      <c r="T25" s="1507" t="s">
        <v>8</v>
      </c>
      <c r="U25" s="1508">
        <f>H25</f>
        <v>100</v>
      </c>
      <c r="V25" s="1507" t="s">
        <v>8</v>
      </c>
      <c r="W25" s="1508">
        <f>J25</f>
        <v>100</v>
      </c>
      <c r="X25" s="1501"/>
      <c r="Y25" s="3486"/>
      <c r="Z25" s="1509" t="str">
        <f>Q25</f>
        <v>临街状况</v>
      </c>
      <c r="AA25" s="1510">
        <f t="shared" si="3"/>
        <v>1</v>
      </c>
      <c r="AB25" s="1510">
        <f t="shared" si="4"/>
        <v>1</v>
      </c>
      <c r="AC25" s="1510">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86"/>
      <c r="Q26" s="1506" t="str">
        <f t="shared" si="11"/>
        <v>平面位置/可视性</v>
      </c>
      <c r="R26" s="1507" t="s">
        <v>8</v>
      </c>
      <c r="S26" s="1508">
        <f>F26</f>
        <v>100</v>
      </c>
      <c r="T26" s="1507" t="s">
        <v>8</v>
      </c>
      <c r="U26" s="1508">
        <f>H26</f>
        <v>100</v>
      </c>
      <c r="V26" s="1507" t="s">
        <v>8</v>
      </c>
      <c r="W26" s="1508">
        <f>J26</f>
        <v>100</v>
      </c>
      <c r="X26" s="1501"/>
      <c r="Y26" s="3486"/>
      <c r="Z26" s="1509" t="str">
        <f>Q26</f>
        <v>平面位置/可视性</v>
      </c>
      <c r="AA26" s="1510">
        <f t="shared" si="3"/>
        <v>1</v>
      </c>
      <c r="AB26" s="1510">
        <f t="shared" si="4"/>
        <v>1</v>
      </c>
      <c r="AC26" s="1510">
        <f t="shared" si="5"/>
        <v>1</v>
      </c>
    </row>
    <row r="27" spans="1:29" s="1203" customFormat="1" ht="15">
      <c r="A27" s="530"/>
      <c r="B27" s="860" t="s">
        <v>752</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86"/>
      <c r="Q27" s="1134" t="str">
        <f t="shared" si="11"/>
        <v>人流量</v>
      </c>
      <c r="R27" s="1502" t="s">
        <v>8</v>
      </c>
      <c r="S27" s="1503">
        <f>F27</f>
        <v>100</v>
      </c>
      <c r="T27" s="1502" t="s">
        <v>8</v>
      </c>
      <c r="U27" s="1503">
        <f>H27</f>
        <v>100</v>
      </c>
      <c r="V27" s="1502" t="s">
        <v>8</v>
      </c>
      <c r="W27" s="1503">
        <f>J27</f>
        <v>100</v>
      </c>
      <c r="X27" s="1504"/>
      <c r="Y27" s="3486"/>
      <c r="Z27" s="1133" t="str">
        <f>Q27</f>
        <v>人流量</v>
      </c>
      <c r="AA27" s="1510">
        <f>D27/F27</f>
        <v>1</v>
      </c>
      <c r="AB27" s="1510">
        <f>D27/H27</f>
        <v>1</v>
      </c>
      <c r="AC27" s="1510">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8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8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86"/>
      <c r="Q29" s="1506">
        <f t="shared" si="11"/>
        <v>111</v>
      </c>
      <c r="R29" s="1507" t="s">
        <v>8</v>
      </c>
      <c r="S29" s="1508">
        <f t="shared" si="12"/>
        <v>100</v>
      </c>
      <c r="T29" s="1507" t="s">
        <v>8</v>
      </c>
      <c r="U29" s="1508">
        <f t="shared" si="13"/>
        <v>100</v>
      </c>
      <c r="V29" s="1507" t="s">
        <v>8</v>
      </c>
      <c r="W29" s="1508">
        <f t="shared" si="14"/>
        <v>100</v>
      </c>
      <c r="X29" s="1501"/>
      <c r="Y29" s="348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86"/>
      <c r="Q30" s="1506">
        <f t="shared" si="11"/>
        <v>111</v>
      </c>
      <c r="R30" s="1507" t="s">
        <v>8</v>
      </c>
      <c r="S30" s="1508">
        <f t="shared" si="12"/>
        <v>100</v>
      </c>
      <c r="T30" s="1507" t="s">
        <v>8</v>
      </c>
      <c r="U30" s="1508">
        <f t="shared" si="13"/>
        <v>100</v>
      </c>
      <c r="V30" s="1507" t="s">
        <v>8</v>
      </c>
      <c r="W30" s="1508">
        <f t="shared" si="14"/>
        <v>100</v>
      </c>
      <c r="X30" s="1501"/>
      <c r="Y30" s="348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86"/>
      <c r="Q31" s="1506">
        <f t="shared" si="11"/>
        <v>111</v>
      </c>
      <c r="R31" s="1507" t="s">
        <v>8</v>
      </c>
      <c r="S31" s="1508">
        <f t="shared" si="12"/>
        <v>100</v>
      </c>
      <c r="T31" s="1507" t="s">
        <v>8</v>
      </c>
      <c r="U31" s="1508">
        <f t="shared" si="13"/>
        <v>100</v>
      </c>
      <c r="V31" s="1507" t="s">
        <v>8</v>
      </c>
      <c r="W31" s="1508">
        <f t="shared" si="14"/>
        <v>100</v>
      </c>
      <c r="X31" s="1501"/>
      <c r="Y31" s="3486"/>
      <c r="Z31" s="1509">
        <f t="shared" si="15"/>
        <v>111</v>
      </c>
      <c r="AA31" s="1510">
        <f t="shared" si="3"/>
        <v>1</v>
      </c>
      <c r="AB31" s="1510">
        <f t="shared" si="4"/>
        <v>1</v>
      </c>
      <c r="AC31" s="1510">
        <f t="shared" si="5"/>
        <v>1</v>
      </c>
    </row>
    <row r="32" spans="1:29" ht="15">
      <c r="A32" s="2624" t="s">
        <v>2734</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87" t="s">
        <v>543</v>
      </c>
      <c r="Q32" s="1506" t="str">
        <f t="shared" si="11"/>
        <v>商业类型</v>
      </c>
      <c r="R32" s="1507" t="s">
        <v>8</v>
      </c>
      <c r="S32" s="1508">
        <f t="shared" si="12"/>
        <v>100</v>
      </c>
      <c r="T32" s="1507" t="s">
        <v>8</v>
      </c>
      <c r="U32" s="1508">
        <f t="shared" si="13"/>
        <v>100</v>
      </c>
      <c r="V32" s="1507" t="s">
        <v>8</v>
      </c>
      <c r="W32" s="1508">
        <f t="shared" si="14"/>
        <v>100</v>
      </c>
      <c r="X32" s="1501"/>
      <c r="Y32" s="3488" t="s">
        <v>543</v>
      </c>
      <c r="Z32" s="1509" t="str">
        <f t="shared" si="15"/>
        <v>商业类型</v>
      </c>
      <c r="AA32" s="1510">
        <f t="shared" si="3"/>
        <v>1</v>
      </c>
      <c r="AB32" s="1510">
        <f t="shared" si="4"/>
        <v>1</v>
      </c>
      <c r="AC32" s="1510">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88"/>
      <c r="Q33" s="1535" t="str">
        <f t="shared" si="11"/>
        <v>项目建筑规模</v>
      </c>
      <c r="R33" s="1511" t="s">
        <v>8</v>
      </c>
      <c r="S33" s="1512" t="e">
        <f t="shared" si="12"/>
        <v>#N/A</v>
      </c>
      <c r="T33" s="1511" t="s">
        <v>8</v>
      </c>
      <c r="U33" s="1512" t="e">
        <f t="shared" si="13"/>
        <v>#N/A</v>
      </c>
      <c r="V33" s="1511" t="s">
        <v>8</v>
      </c>
      <c r="W33" s="1512" t="e">
        <f t="shared" si="14"/>
        <v>#N/A</v>
      </c>
      <c r="X33" s="1513"/>
      <c r="Y33" s="3488"/>
      <c r="Z33" s="1514" t="str">
        <f t="shared" si="15"/>
        <v>项目建筑规模</v>
      </c>
      <c r="AA33" s="1510" t="e">
        <f t="shared" si="3"/>
        <v>#N/A</v>
      </c>
      <c r="AB33" s="1510" t="e">
        <f t="shared" si="4"/>
        <v>#N/A</v>
      </c>
      <c r="AC33" s="1510"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88"/>
      <c r="Q34" s="1506" t="str">
        <f t="shared" si="11"/>
        <v>建筑结构</v>
      </c>
      <c r="R34" s="1507" t="s">
        <v>8</v>
      </c>
      <c r="S34" s="1508">
        <f t="shared" si="12"/>
        <v>100</v>
      </c>
      <c r="T34" s="1507" t="s">
        <v>8</v>
      </c>
      <c r="U34" s="1508">
        <f t="shared" si="13"/>
        <v>100</v>
      </c>
      <c r="V34" s="1507" t="s">
        <v>8</v>
      </c>
      <c r="W34" s="1508">
        <f t="shared" si="14"/>
        <v>100</v>
      </c>
      <c r="X34" s="1501"/>
      <c r="Y34" s="3488"/>
      <c r="Z34" s="1509" t="str">
        <f t="shared" si="15"/>
        <v>建筑结构</v>
      </c>
      <c r="AA34" s="1510">
        <f t="shared" si="3"/>
        <v>1</v>
      </c>
      <c r="AB34" s="1510">
        <f t="shared" si="4"/>
        <v>1</v>
      </c>
      <c r="AC34" s="1510">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88"/>
      <c r="Q35" s="1506" t="str">
        <f t="shared" si="11"/>
        <v>公共部分装修</v>
      </c>
      <c r="R35" s="1507" t="s">
        <v>8</v>
      </c>
      <c r="S35" s="1508">
        <f t="shared" si="12"/>
        <v>100</v>
      </c>
      <c r="T35" s="1507" t="s">
        <v>8</v>
      </c>
      <c r="U35" s="1508">
        <f t="shared" si="13"/>
        <v>100</v>
      </c>
      <c r="V35" s="1507" t="s">
        <v>8</v>
      </c>
      <c r="W35" s="1508">
        <f t="shared" si="14"/>
        <v>100</v>
      </c>
      <c r="X35" s="1501"/>
      <c r="Y35" s="3488"/>
      <c r="Z35" s="1509" t="str">
        <f t="shared" si="15"/>
        <v>公共部分装修</v>
      </c>
      <c r="AA35" s="1510">
        <f t="shared" si="3"/>
        <v>1</v>
      </c>
      <c r="AB35" s="1510">
        <f t="shared" si="4"/>
        <v>1</v>
      </c>
      <c r="AC35" s="1510">
        <f t="shared" si="5"/>
        <v>1</v>
      </c>
    </row>
    <row r="36" spans="1:29" ht="15">
      <c r="A36" s="588"/>
      <c r="B36" s="521" t="s">
        <v>757</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88"/>
      <c r="Q36" s="1506" t="str">
        <f t="shared" si="11"/>
        <v>成新度</v>
      </c>
      <c r="R36" s="1507" t="s">
        <v>8</v>
      </c>
      <c r="S36" s="1508" t="e">
        <f t="shared" si="12"/>
        <v>#N/A</v>
      </c>
      <c r="T36" s="1507" t="s">
        <v>8</v>
      </c>
      <c r="U36" s="1508" t="e">
        <f t="shared" si="13"/>
        <v>#N/A</v>
      </c>
      <c r="V36" s="1507" t="s">
        <v>8</v>
      </c>
      <c r="W36" s="1508" t="e">
        <f t="shared" si="14"/>
        <v>#N/A</v>
      </c>
      <c r="X36" s="1501"/>
      <c r="Y36" s="3488"/>
      <c r="Z36" s="1509" t="str">
        <f t="shared" si="15"/>
        <v>成新度</v>
      </c>
      <c r="AA36" s="1510" t="e">
        <f t="shared" si="3"/>
        <v>#N/A</v>
      </c>
      <c r="AB36" s="1510" t="e">
        <f t="shared" si="4"/>
        <v>#N/A</v>
      </c>
      <c r="AC36" s="1510" t="e">
        <f t="shared" si="5"/>
        <v>#N/A</v>
      </c>
    </row>
    <row r="37" spans="1:29" s="1203"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88"/>
      <c r="Q37" s="1134" t="str">
        <f t="shared" si="11"/>
        <v>市政基础设施</v>
      </c>
      <c r="R37" s="1502" t="s">
        <v>8</v>
      </c>
      <c r="S37" s="1503">
        <f t="shared" si="12"/>
        <v>100</v>
      </c>
      <c r="T37" s="1502" t="s">
        <v>8</v>
      </c>
      <c r="U37" s="1503">
        <f t="shared" si="13"/>
        <v>100</v>
      </c>
      <c r="V37" s="1502" t="s">
        <v>8</v>
      </c>
      <c r="W37" s="1503">
        <f t="shared" si="14"/>
        <v>100</v>
      </c>
      <c r="X37" s="1504"/>
      <c r="Y37" s="3488"/>
      <c r="Z37" s="1133" t="str">
        <f t="shared" si="15"/>
        <v>市政基础设施</v>
      </c>
      <c r="AA37" s="1505">
        <f t="shared" si="3"/>
        <v>1</v>
      </c>
      <c r="AB37" s="1505">
        <f t="shared" si="4"/>
        <v>1</v>
      </c>
      <c r="AC37" s="1505">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88" t="s">
        <v>759</v>
      </c>
      <c r="Q38" s="1506" t="str">
        <f t="shared" si="11"/>
        <v>业态</v>
      </c>
      <c r="R38" s="1507" t="s">
        <v>8</v>
      </c>
      <c r="S38" s="1508">
        <f t="shared" si="12"/>
        <v>100</v>
      </c>
      <c r="T38" s="1507" t="s">
        <v>8</v>
      </c>
      <c r="U38" s="1508">
        <f t="shared" si="13"/>
        <v>100</v>
      </c>
      <c r="V38" s="1507" t="s">
        <v>8</v>
      </c>
      <c r="W38" s="1508">
        <f t="shared" si="14"/>
        <v>100</v>
      </c>
      <c r="X38" s="1501"/>
      <c r="Y38" s="3488" t="s">
        <v>759</v>
      </c>
      <c r="Z38" s="1509" t="str">
        <f t="shared" si="15"/>
        <v>业态</v>
      </c>
      <c r="AA38" s="1510">
        <f t="shared" si="3"/>
        <v>1</v>
      </c>
      <c r="AB38" s="1510">
        <f t="shared" si="4"/>
        <v>1</v>
      </c>
      <c r="AC38" s="1510">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88"/>
      <c r="Q39" s="1506" t="str">
        <f t="shared" si="11"/>
        <v>层高</v>
      </c>
      <c r="R39" s="1507" t="s">
        <v>8</v>
      </c>
      <c r="S39" s="1508">
        <f t="shared" si="12"/>
        <v>100</v>
      </c>
      <c r="T39" s="1507" t="s">
        <v>8</v>
      </c>
      <c r="U39" s="1508">
        <f t="shared" si="13"/>
        <v>100</v>
      </c>
      <c r="V39" s="1507" t="s">
        <v>8</v>
      </c>
      <c r="W39" s="1508">
        <f t="shared" si="14"/>
        <v>100</v>
      </c>
      <c r="X39" s="1501"/>
      <c r="Y39" s="3488"/>
      <c r="Z39" s="1509" t="str">
        <f t="shared" si="15"/>
        <v>层高</v>
      </c>
      <c r="AA39" s="1510">
        <f t="shared" si="3"/>
        <v>1</v>
      </c>
      <c r="AB39" s="1510">
        <f t="shared" si="4"/>
        <v>1</v>
      </c>
      <c r="AC39" s="1510">
        <f t="shared" si="5"/>
        <v>1</v>
      </c>
    </row>
    <row r="40" spans="1:29" ht="15">
      <c r="A40" s="588"/>
      <c r="B40" s="521" t="s">
        <v>761</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88"/>
      <c r="Q40" s="1506" t="str">
        <f t="shared" si="11"/>
        <v>单套建筑面积</v>
      </c>
      <c r="R40" s="1507" t="s">
        <v>8</v>
      </c>
      <c r="S40" s="1508">
        <f t="shared" si="12"/>
        <v>100</v>
      </c>
      <c r="T40" s="1507" t="s">
        <v>8</v>
      </c>
      <c r="U40" s="1508">
        <f t="shared" si="13"/>
        <v>100</v>
      </c>
      <c r="V40" s="1507" t="s">
        <v>8</v>
      </c>
      <c r="W40" s="1508">
        <f t="shared" si="14"/>
        <v>100</v>
      </c>
      <c r="X40" s="1501"/>
      <c r="Y40" s="3488"/>
      <c r="Z40" s="1509" t="str">
        <f t="shared" si="15"/>
        <v>单套建筑面积</v>
      </c>
      <c r="AA40" s="1510">
        <f t="shared" si="3"/>
        <v>1</v>
      </c>
      <c r="AB40" s="1510">
        <f t="shared" si="4"/>
        <v>1</v>
      </c>
      <c r="AC40" s="1510">
        <f t="shared" si="5"/>
        <v>1</v>
      </c>
    </row>
    <row r="41" spans="1:29" s="1293" customFormat="1" ht="15">
      <c r="A41" s="597"/>
      <c r="B41" s="893"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88"/>
      <c r="Q41" s="1535" t="str">
        <f t="shared" si="11"/>
        <v>进深比</v>
      </c>
      <c r="R41" s="1511" t="s">
        <v>8</v>
      </c>
      <c r="S41" s="1512">
        <f t="shared" si="12"/>
        <v>100</v>
      </c>
      <c r="T41" s="1511" t="s">
        <v>8</v>
      </c>
      <c r="U41" s="1512">
        <f t="shared" si="13"/>
        <v>100</v>
      </c>
      <c r="V41" s="1511" t="s">
        <v>8</v>
      </c>
      <c r="W41" s="1512">
        <f t="shared" si="14"/>
        <v>100</v>
      </c>
      <c r="X41" s="1513"/>
      <c r="Y41" s="3488"/>
      <c r="Z41" s="1514" t="str">
        <f t="shared" si="15"/>
        <v>进深比</v>
      </c>
      <c r="AA41" s="1510">
        <f t="shared" si="3"/>
        <v>1</v>
      </c>
      <c r="AB41" s="1510">
        <f t="shared" si="4"/>
        <v>1</v>
      </c>
      <c r="AC41" s="1510">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88"/>
      <c r="Q42" s="1506" t="str">
        <f t="shared" si="11"/>
        <v>内部装修</v>
      </c>
      <c r="R42" s="1507" t="s">
        <v>8</v>
      </c>
      <c r="S42" s="1508">
        <f t="shared" si="12"/>
        <v>100</v>
      </c>
      <c r="T42" s="1507" t="s">
        <v>8</v>
      </c>
      <c r="U42" s="1508">
        <f t="shared" si="13"/>
        <v>100</v>
      </c>
      <c r="V42" s="1507" t="s">
        <v>8</v>
      </c>
      <c r="W42" s="1508">
        <f t="shared" si="14"/>
        <v>100</v>
      </c>
      <c r="X42" s="1501"/>
      <c r="Y42" s="3488"/>
      <c r="Z42" s="1509" t="str">
        <f t="shared" si="15"/>
        <v>内部装修</v>
      </c>
      <c r="AA42" s="1510">
        <f t="shared" si="3"/>
        <v>1</v>
      </c>
      <c r="AB42" s="1510">
        <f t="shared" si="4"/>
        <v>1</v>
      </c>
      <c r="AC42" s="1510">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88"/>
      <c r="Q43" s="1506" t="str">
        <f t="shared" si="11"/>
        <v>内部装修维护情况</v>
      </c>
      <c r="R43" s="1507" t="s">
        <v>8</v>
      </c>
      <c r="S43" s="1508">
        <f t="shared" si="12"/>
        <v>100</v>
      </c>
      <c r="T43" s="1507" t="s">
        <v>8</v>
      </c>
      <c r="U43" s="1508">
        <f t="shared" si="13"/>
        <v>100</v>
      </c>
      <c r="V43" s="1507" t="s">
        <v>8</v>
      </c>
      <c r="W43" s="1508">
        <f t="shared" si="14"/>
        <v>100</v>
      </c>
      <c r="X43" s="1501"/>
      <c r="Y43" s="348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88"/>
      <c r="Q44" s="1134">
        <f t="shared" si="11"/>
        <v>111</v>
      </c>
      <c r="R44" s="1502" t="s">
        <v>8</v>
      </c>
      <c r="S44" s="1503">
        <f t="shared" si="12"/>
        <v>100</v>
      </c>
      <c r="T44" s="1502" t="s">
        <v>8</v>
      </c>
      <c r="U44" s="1503">
        <f t="shared" si="13"/>
        <v>100</v>
      </c>
      <c r="V44" s="1502" t="s">
        <v>8</v>
      </c>
      <c r="W44" s="1503">
        <f t="shared" si="14"/>
        <v>100</v>
      </c>
      <c r="X44" s="1504"/>
      <c r="Y44" s="348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88"/>
      <c r="Q45" s="1506">
        <f t="shared" si="11"/>
        <v>111</v>
      </c>
      <c r="R45" s="1507" t="s">
        <v>8</v>
      </c>
      <c r="S45" s="1508">
        <f t="shared" si="12"/>
        <v>100</v>
      </c>
      <c r="T45" s="1507" t="s">
        <v>8</v>
      </c>
      <c r="U45" s="1508">
        <f t="shared" si="13"/>
        <v>100</v>
      </c>
      <c r="V45" s="1507" t="s">
        <v>8</v>
      </c>
      <c r="W45" s="1508">
        <f t="shared" si="14"/>
        <v>100</v>
      </c>
      <c r="X45" s="1501"/>
      <c r="Y45" s="3488"/>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9"/>
      <c r="Q46" s="1506">
        <f t="shared" si="11"/>
        <v>111</v>
      </c>
      <c r="R46" s="1507" t="s">
        <v>8</v>
      </c>
      <c r="S46" s="1508">
        <f t="shared" si="12"/>
        <v>100</v>
      </c>
      <c r="T46" s="1507" t="s">
        <v>8</v>
      </c>
      <c r="U46" s="1508">
        <f t="shared" si="13"/>
        <v>100</v>
      </c>
      <c r="V46" s="1507" t="s">
        <v>8</v>
      </c>
      <c r="W46" s="1508">
        <f t="shared" si="14"/>
        <v>100</v>
      </c>
      <c r="X46" s="1501"/>
      <c r="Y46" s="3589"/>
      <c r="Z46" s="1509">
        <f t="shared" si="15"/>
        <v>111</v>
      </c>
      <c r="AA46" s="1510">
        <f t="shared" si="3"/>
        <v>1</v>
      </c>
      <c r="AB46" s="1510">
        <f t="shared" si="4"/>
        <v>1</v>
      </c>
      <c r="AC46" s="1510">
        <f t="shared" si="5"/>
        <v>1</v>
      </c>
    </row>
    <row r="47" spans="1:29" ht="15">
      <c r="A47" s="601" t="s">
        <v>729</v>
      </c>
      <c r="B47" s="876"/>
      <c r="C47" s="2470" t="s">
        <v>1</v>
      </c>
      <c r="D47" s="2471"/>
      <c r="E47" s="2472"/>
      <c r="F47" s="2473"/>
      <c r="G47" s="2474"/>
      <c r="H47" s="2475"/>
      <c r="I47" s="2472"/>
      <c r="J47" s="2475"/>
      <c r="K47" s="1540"/>
      <c r="L47" s="2026"/>
      <c r="M47" s="2027"/>
      <c r="N47" s="2016"/>
      <c r="O47" s="2027"/>
      <c r="P47" s="3483" t="str">
        <f>A47</f>
        <v>成交单价（元/平方米）</v>
      </c>
      <c r="Q47" s="3483"/>
      <c r="R47" s="3588">
        <f>E47</f>
        <v>0</v>
      </c>
      <c r="S47" s="3588"/>
      <c r="T47" s="3588">
        <f>G47</f>
        <v>0</v>
      </c>
      <c r="U47" s="3588"/>
      <c r="V47" s="3588">
        <f>I47</f>
        <v>0</v>
      </c>
      <c r="W47" s="3588"/>
      <c r="X47" s="1496"/>
      <c r="Y47" s="1515"/>
      <c r="Z47" s="1496"/>
      <c r="AA47" s="1496"/>
      <c r="AB47" s="1496"/>
      <c r="AC47" s="1496"/>
    </row>
    <row r="48" spans="1:29" ht="15.75" thickBot="1">
      <c r="A48" s="609" t="s">
        <v>2739</v>
      </c>
      <c r="B48" s="877"/>
      <c r="C48" s="2476" t="e">
        <f>R49</f>
        <v>#DIV/0!</v>
      </c>
      <c r="D48" s="3013" t="s">
        <v>2965</v>
      </c>
      <c r="E48" s="2477" t="e">
        <f>R48</f>
        <v>#DIV/0!</v>
      </c>
      <c r="F48" s="3014"/>
      <c r="G48" s="2476" t="e">
        <f>T48</f>
        <v>#DIV/0!</v>
      </c>
      <c r="H48" s="3014"/>
      <c r="I48" s="2477" t="e">
        <f>V48</f>
        <v>#DIV/0!</v>
      </c>
      <c r="J48" s="3014"/>
      <c r="K48" s="3022">
        <f>F48+H48+J48</f>
        <v>0</v>
      </c>
      <c r="L48" s="2026"/>
      <c r="M48" s="2027"/>
      <c r="N48" s="2016"/>
      <c r="O48" s="2027"/>
      <c r="P48" s="3483" t="str">
        <f>A48</f>
        <v>比较价格（元/平方米）</v>
      </c>
      <c r="Q48" s="3483"/>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04" t="str">
        <f>A49</f>
        <v>估价对象XX用房的比较价格（楼面单价，元/平方米）</v>
      </c>
      <c r="Q49" s="3505"/>
      <c r="R49" s="3587" t="e">
        <f>IF(F1="售价",ROUND(IF(D48="简单平均",AVERAGE(R48:V48),R48*F48+T48*H48+V48*J48),0),ROUND(IF(D48="简单平均",AVERAGE(R48:V48),R48*F48+T48*H48+V48*J48),1))</f>
        <v>#DIV/0!</v>
      </c>
      <c r="S49" s="3587"/>
      <c r="T49" s="3587"/>
      <c r="U49" s="3587"/>
      <c r="V49" s="3587"/>
      <c r="W49" s="3587"/>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19"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765</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768</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769</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770</v>
      </c>
      <c r="C1" s="498" t="s">
        <v>713</v>
      </c>
      <c r="D1" s="838"/>
      <c r="E1" s="500"/>
      <c r="F1" s="2524"/>
      <c r="G1" s="1531" t="s">
        <v>714</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90" customFormat="1" ht="28.5" customHeight="1" thickBot="1">
      <c r="A3" s="503" t="s">
        <v>512</v>
      </c>
      <c r="B3" s="504" t="e">
        <f>C50</f>
        <v>#DIV/0!</v>
      </c>
      <c r="C3" s="841" t="s">
        <v>715</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514</v>
      </c>
      <c r="B4" s="507"/>
      <c r="C4" s="3489" t="s">
        <v>515</v>
      </c>
      <c r="D4" s="3490"/>
      <c r="E4" s="3514" t="s">
        <v>516</v>
      </c>
      <c r="F4" s="3515"/>
      <c r="G4" s="3489" t="s">
        <v>517</v>
      </c>
      <c r="H4" s="3490"/>
      <c r="I4" s="3489" t="s">
        <v>518</v>
      </c>
      <c r="J4" s="3490"/>
      <c r="K4" s="508" t="s">
        <v>519</v>
      </c>
      <c r="L4" s="2015"/>
      <c r="M4" s="2016"/>
      <c r="N4" s="2016"/>
      <c r="O4" s="2016"/>
      <c r="P4" s="3590" t="s">
        <v>520</v>
      </c>
      <c r="Q4" s="3492"/>
      <c r="R4" s="3477" t="s">
        <v>516</v>
      </c>
      <c r="S4" s="3478"/>
      <c r="T4" s="3477" t="s">
        <v>517</v>
      </c>
      <c r="U4" s="3478"/>
      <c r="V4" s="3497" t="s">
        <v>518</v>
      </c>
      <c r="W4" s="3497"/>
      <c r="X4" s="1501"/>
      <c r="Y4" s="3477" t="s">
        <v>520</v>
      </c>
      <c r="Z4" s="3478"/>
      <c r="AA4" s="3472" t="s">
        <v>516</v>
      </c>
      <c r="AB4" s="3472" t="s">
        <v>517</v>
      </c>
      <c r="AC4" s="3472" t="s">
        <v>518</v>
      </c>
    </row>
    <row r="5" spans="1:29" ht="15">
      <c r="A5" s="509"/>
      <c r="B5" s="510"/>
      <c r="C5" s="3500" t="s">
        <v>2891</v>
      </c>
      <c r="D5" s="3501"/>
      <c r="E5" s="3516" t="s">
        <v>2892</v>
      </c>
      <c r="F5" s="3517"/>
      <c r="G5" s="3500" t="s">
        <v>2893</v>
      </c>
      <c r="H5" s="3501"/>
      <c r="I5" s="3500" t="s">
        <v>2894</v>
      </c>
      <c r="J5" s="3501"/>
      <c r="K5" s="508"/>
      <c r="L5" s="2015"/>
      <c r="M5" s="2016"/>
      <c r="N5" s="2016"/>
      <c r="O5" s="2016"/>
      <c r="P5" s="3591"/>
      <c r="Q5" s="3494"/>
      <c r="R5" s="3479"/>
      <c r="S5" s="3480"/>
      <c r="T5" s="3479"/>
      <c r="U5" s="3480"/>
      <c r="V5" s="3497"/>
      <c r="W5" s="3497"/>
      <c r="X5" s="1501"/>
      <c r="Y5" s="3479"/>
      <c r="Z5" s="3480"/>
      <c r="AA5" s="3473"/>
      <c r="AB5" s="3473"/>
      <c r="AC5" s="3473"/>
    </row>
    <row r="6" spans="1:29" ht="15.75" thickBot="1">
      <c r="A6" s="511"/>
      <c r="B6" s="512"/>
      <c r="C6" s="3498" t="s">
        <v>2895</v>
      </c>
      <c r="D6" s="3499"/>
      <c r="E6" s="3518" t="s">
        <v>2895</v>
      </c>
      <c r="F6" s="3519"/>
      <c r="G6" s="3498" t="s">
        <v>2895</v>
      </c>
      <c r="H6" s="3499"/>
      <c r="I6" s="3498" t="s">
        <v>2895</v>
      </c>
      <c r="J6" s="3499"/>
      <c r="K6" s="508" t="s">
        <v>521</v>
      </c>
      <c r="L6" s="2015"/>
      <c r="M6" s="2016"/>
      <c r="N6" s="2016"/>
      <c r="O6" s="2016"/>
      <c r="P6" s="3592"/>
      <c r="Q6" s="3496"/>
      <c r="R6" s="3479"/>
      <c r="S6" s="3480"/>
      <c r="T6" s="3481"/>
      <c r="U6" s="3482"/>
      <c r="V6" s="3497"/>
      <c r="W6" s="3497"/>
      <c r="X6" s="1501"/>
      <c r="Y6" s="3481"/>
      <c r="Z6" s="3482"/>
      <c r="AA6" s="3474"/>
      <c r="AB6" s="3474"/>
      <c r="AC6" s="3474"/>
    </row>
    <row r="7" spans="1:29" s="1203" customFormat="1" ht="15.75" thickBot="1">
      <c r="A7" s="2629"/>
      <c r="B7" s="2636" t="s">
        <v>522</v>
      </c>
      <c r="C7" s="513">
        <f>'数据-取费表'!B2</f>
        <v>44448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4" t="s">
        <v>523</v>
      </c>
      <c r="Q7" s="3484"/>
      <c r="R7" s="1502" t="s">
        <v>8</v>
      </c>
      <c r="S7" s="1503">
        <f t="shared" ref="S7:S15" si="0">F7</f>
        <v>0</v>
      </c>
      <c r="T7" s="1502" t="s">
        <v>8</v>
      </c>
      <c r="U7" s="1503">
        <f t="shared" ref="U7:U15" si="1">H7</f>
        <v>0</v>
      </c>
      <c r="V7" s="1502" t="s">
        <v>8</v>
      </c>
      <c r="W7" s="1503">
        <f t="shared" ref="W7:W15" si="2">J7</f>
        <v>0</v>
      </c>
      <c r="X7" s="1504"/>
      <c r="Y7" s="3475" t="s">
        <v>523</v>
      </c>
      <c r="Z7" s="3476"/>
      <c r="AA7" s="1505" t="e">
        <f>D7/F7</f>
        <v>#DIV/0!</v>
      </c>
      <c r="AB7" s="1505" t="e">
        <f>D7/H7</f>
        <v>#DIV/0!</v>
      </c>
      <c r="AC7" s="1505" t="e">
        <f>D7/J7</f>
        <v>#DIV/0!</v>
      </c>
    </row>
    <row r="8" spans="1:29" s="1203" customFormat="1" ht="15.75" thickBot="1">
      <c r="A8" s="2630"/>
      <c r="B8" s="2637" t="s">
        <v>524</v>
      </c>
      <c r="C8" s="519" t="s">
        <v>569</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4" t="s">
        <v>526</v>
      </c>
      <c r="Q8" s="3476"/>
      <c r="R8" s="1502" t="s">
        <v>8</v>
      </c>
      <c r="S8" s="1503">
        <f t="shared" si="0"/>
        <v>0</v>
      </c>
      <c r="T8" s="1502" t="s">
        <v>8</v>
      </c>
      <c r="U8" s="1503">
        <f t="shared" si="1"/>
        <v>0</v>
      </c>
      <c r="V8" s="1502" t="s">
        <v>8</v>
      </c>
      <c r="W8" s="1503">
        <f t="shared" si="2"/>
        <v>0</v>
      </c>
      <c r="X8" s="1504"/>
      <c r="Y8" s="3475" t="s">
        <v>526</v>
      </c>
      <c r="Z8" s="3476"/>
      <c r="AA8" s="1505" t="e">
        <f t="shared" ref="AA8:AA47" si="3">D8/F8</f>
        <v>#DIV/0!</v>
      </c>
      <c r="AB8" s="1505" t="e">
        <f t="shared" ref="AB8:AB47" si="4">D8/H8</f>
        <v>#DIV/0!</v>
      </c>
      <c r="AC8" s="1505" t="e">
        <f t="shared" ref="AC8:AC47" si="5">D8/J8</f>
        <v>#DIV/0!</v>
      </c>
    </row>
    <row r="9" spans="1:29" s="1203"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3" t="s">
        <v>528</v>
      </c>
      <c r="Q9" s="1134" t="str">
        <f t="shared" ref="Q9:Q15" si="6">B9</f>
        <v>用途</v>
      </c>
      <c r="R9" s="1502" t="s">
        <v>8</v>
      </c>
      <c r="S9" s="1503">
        <f t="shared" si="0"/>
        <v>100</v>
      </c>
      <c r="T9" s="1502" t="s">
        <v>8</v>
      </c>
      <c r="U9" s="1503">
        <f t="shared" si="1"/>
        <v>100</v>
      </c>
      <c r="V9" s="1502" t="s">
        <v>8</v>
      </c>
      <c r="W9" s="1503">
        <f t="shared" si="2"/>
        <v>100</v>
      </c>
      <c r="X9" s="1504"/>
      <c r="Y9" s="3434"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3"/>
      <c r="Q10" s="1134" t="str">
        <f t="shared" si="6"/>
        <v>土地使用年限（年）</v>
      </c>
      <c r="R10" s="1502" t="s">
        <v>8</v>
      </c>
      <c r="S10" s="1503">
        <f t="shared" si="0"/>
        <v>100</v>
      </c>
      <c r="T10" s="1502" t="s">
        <v>8</v>
      </c>
      <c r="U10" s="1503">
        <f t="shared" si="1"/>
        <v>100</v>
      </c>
      <c r="V10" s="1502" t="s">
        <v>8</v>
      </c>
      <c r="W10" s="1503">
        <f t="shared" si="2"/>
        <v>100</v>
      </c>
      <c r="X10" s="1504"/>
      <c r="Y10" s="3434"/>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3"/>
      <c r="Q11" s="1134" t="str">
        <f t="shared" si="6"/>
        <v>容积率</v>
      </c>
      <c r="R11" s="1502" t="s">
        <v>8</v>
      </c>
      <c r="S11" s="1503" t="e">
        <f t="shared" si="0"/>
        <v>#N/A</v>
      </c>
      <c r="T11" s="1502" t="s">
        <v>8</v>
      </c>
      <c r="U11" s="1503" t="e">
        <f t="shared" si="1"/>
        <v>#N/A</v>
      </c>
      <c r="V11" s="1502" t="s">
        <v>8</v>
      </c>
      <c r="W11" s="1503" t="e">
        <f t="shared" si="2"/>
        <v>#N/A</v>
      </c>
      <c r="X11" s="1504"/>
      <c r="Y11" s="343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83"/>
      <c r="Q12" s="1134">
        <f t="shared" si="6"/>
        <v>111</v>
      </c>
      <c r="R12" s="1502" t="s">
        <v>8</v>
      </c>
      <c r="S12" s="1503">
        <f t="shared" si="0"/>
        <v>100</v>
      </c>
      <c r="T12" s="1502" t="s">
        <v>8</v>
      </c>
      <c r="U12" s="1503">
        <f t="shared" si="1"/>
        <v>100</v>
      </c>
      <c r="V12" s="1502" t="s">
        <v>8</v>
      </c>
      <c r="W12" s="1503">
        <f t="shared" si="2"/>
        <v>100</v>
      </c>
      <c r="X12" s="1504"/>
      <c r="Y12" s="3434"/>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83"/>
      <c r="Q13" s="1134">
        <f t="shared" si="6"/>
        <v>111</v>
      </c>
      <c r="R13" s="1502" t="s">
        <v>8</v>
      </c>
      <c r="S13" s="1503">
        <f t="shared" si="0"/>
        <v>100</v>
      </c>
      <c r="T13" s="1502" t="s">
        <v>8</v>
      </c>
      <c r="U13" s="1503">
        <f t="shared" si="1"/>
        <v>100</v>
      </c>
      <c r="V13" s="1502" t="s">
        <v>8</v>
      </c>
      <c r="W13" s="1503">
        <f t="shared" si="2"/>
        <v>100</v>
      </c>
      <c r="X13" s="1504"/>
      <c r="Y13" s="3434"/>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83"/>
      <c r="Q14" s="1134">
        <f t="shared" si="6"/>
        <v>111</v>
      </c>
      <c r="R14" s="1502" t="s">
        <v>8</v>
      </c>
      <c r="S14" s="1503">
        <f t="shared" si="0"/>
        <v>100</v>
      </c>
      <c r="T14" s="1502" t="s">
        <v>8</v>
      </c>
      <c r="U14" s="1503">
        <f t="shared" si="1"/>
        <v>100</v>
      </c>
      <c r="V14" s="1502" t="s">
        <v>8</v>
      </c>
      <c r="W14" s="1503">
        <f t="shared" si="2"/>
        <v>100</v>
      </c>
      <c r="X14" s="1504"/>
      <c r="Y14" s="3434"/>
      <c r="Z14" s="1133">
        <f t="shared" si="7"/>
        <v>111</v>
      </c>
      <c r="AA14" s="1505">
        <f t="shared" si="3"/>
        <v>1</v>
      </c>
      <c r="AB14" s="1505">
        <f t="shared" si="4"/>
        <v>1</v>
      </c>
      <c r="AC14" s="1505">
        <f t="shared" si="5"/>
        <v>1</v>
      </c>
    </row>
    <row r="15" spans="1:29" ht="71.25">
      <c r="A15" s="2627" t="s">
        <v>2733</v>
      </c>
      <c r="B15" s="541" t="s">
        <v>535</v>
      </c>
      <c r="C15" s="542" t="str">
        <f>估价对象房地状况!C5</f>
        <v>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85" t="s">
        <v>533</v>
      </c>
      <c r="Q15" s="1506" t="str">
        <f t="shared" si="6"/>
        <v>办公集聚程度</v>
      </c>
      <c r="R15" s="1507" t="s">
        <v>8</v>
      </c>
      <c r="S15" s="1508">
        <f t="shared" si="0"/>
        <v>100</v>
      </c>
      <c r="T15" s="1507" t="s">
        <v>8</v>
      </c>
      <c r="U15" s="1508">
        <f t="shared" si="1"/>
        <v>100</v>
      </c>
      <c r="V15" s="1507" t="s">
        <v>8</v>
      </c>
      <c r="W15" s="1508">
        <f t="shared" si="2"/>
        <v>100</v>
      </c>
      <c r="X15" s="1501"/>
      <c r="Y15" s="3485" t="s">
        <v>533</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86"/>
      <c r="Q16" s="1506"/>
      <c r="R16" s="1507"/>
      <c r="S16" s="1508"/>
      <c r="T16" s="1507"/>
      <c r="U16" s="1508"/>
      <c r="V16" s="1507"/>
      <c r="W16" s="1508"/>
      <c r="X16" s="1501"/>
      <c r="Y16" s="3486"/>
      <c r="Z16" s="1509"/>
      <c r="AA16" s="1510">
        <v>1</v>
      </c>
      <c r="AB16" s="1510">
        <v>1</v>
      </c>
      <c r="AC16" s="1510">
        <v>1</v>
      </c>
    </row>
    <row r="17" spans="1:29" ht="85.5">
      <c r="A17" s="526"/>
      <c r="B17" s="554" t="s">
        <v>295</v>
      </c>
      <c r="C17" s="567" t="str">
        <f>估价对象房地状况!C6</f>
        <v>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86"/>
      <c r="Q17" s="1506" t="str">
        <f>B17</f>
        <v>交通便捷度</v>
      </c>
      <c r="R17" s="1507" t="s">
        <v>8</v>
      </c>
      <c r="S17" s="1508">
        <f>F17</f>
        <v>100</v>
      </c>
      <c r="T17" s="1507" t="s">
        <v>8</v>
      </c>
      <c r="U17" s="1508">
        <f>H17</f>
        <v>100</v>
      </c>
      <c r="V17" s="1507" t="s">
        <v>8</v>
      </c>
      <c r="W17" s="1508">
        <f>J17</f>
        <v>100</v>
      </c>
      <c r="X17" s="1501"/>
      <c r="Y17" s="348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86"/>
      <c r="Q18" s="1506"/>
      <c r="R18" s="1507"/>
      <c r="S18" s="1508"/>
      <c r="T18" s="1507"/>
      <c r="U18" s="1508"/>
      <c r="V18" s="1507"/>
      <c r="W18" s="1508"/>
      <c r="X18" s="1501"/>
      <c r="Y18" s="3486"/>
      <c r="Z18" s="1509"/>
      <c r="AA18" s="1510">
        <v>1</v>
      </c>
      <c r="AB18" s="1510">
        <v>1</v>
      </c>
      <c r="AC18" s="1510">
        <v>1</v>
      </c>
    </row>
    <row r="19" spans="1:29" ht="42.75">
      <c r="A19" s="526"/>
      <c r="B19" s="2447" t="s">
        <v>2526</v>
      </c>
      <c r="C19" s="567" t="str">
        <f>估价对象房地状况!C7</f>
        <v>较好</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86"/>
      <c r="Q19" s="1506" t="str">
        <f>B19</f>
        <v>公共配套设施</v>
      </c>
      <c r="R19" s="1507" t="s">
        <v>8</v>
      </c>
      <c r="S19" s="1508">
        <f>F19</f>
        <v>100</v>
      </c>
      <c r="T19" s="1507" t="s">
        <v>8</v>
      </c>
      <c r="U19" s="1508">
        <f>H19</f>
        <v>100</v>
      </c>
      <c r="V19" s="1507" t="s">
        <v>8</v>
      </c>
      <c r="W19" s="1508">
        <f>J19</f>
        <v>100</v>
      </c>
      <c r="X19" s="1501"/>
      <c r="Y19" s="348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86"/>
      <c r="Q20" s="1506"/>
      <c r="R20" s="1507"/>
      <c r="S20" s="1508"/>
      <c r="T20" s="1507"/>
      <c r="U20" s="1508"/>
      <c r="V20" s="1507"/>
      <c r="W20" s="1508"/>
      <c r="X20" s="1501"/>
      <c r="Y20" s="3486"/>
      <c r="Z20" s="1509"/>
      <c r="AA20" s="1510">
        <v>1</v>
      </c>
      <c r="AB20" s="1510">
        <v>1</v>
      </c>
      <c r="AC20" s="1510">
        <v>1</v>
      </c>
    </row>
    <row r="21" spans="1:29" ht="28.5">
      <c r="A21" s="526"/>
      <c r="B21" s="2435" t="s">
        <v>2538</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86"/>
      <c r="Q21" s="2429" t="str">
        <f>B21</f>
        <v>基础设施水平</v>
      </c>
      <c r="R21" s="1507" t="s">
        <v>8</v>
      </c>
      <c r="S21" s="1508">
        <f>F21</f>
        <v>100</v>
      </c>
      <c r="T21" s="1507" t="s">
        <v>8</v>
      </c>
      <c r="U21" s="1508">
        <f>H21</f>
        <v>100</v>
      </c>
      <c r="V21" s="1507" t="s">
        <v>8</v>
      </c>
      <c r="W21" s="1508">
        <f>J21</f>
        <v>100</v>
      </c>
      <c r="X21" s="2431"/>
      <c r="Y21" s="348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86"/>
      <c r="Q22" s="2429"/>
      <c r="R22" s="1507"/>
      <c r="S22" s="1508"/>
      <c r="T22" s="1507"/>
      <c r="U22" s="1508"/>
      <c r="V22" s="1507"/>
      <c r="W22" s="1508"/>
      <c r="X22" s="2431"/>
      <c r="Y22" s="3486"/>
      <c r="Z22" s="2430"/>
      <c r="AA22" s="1510">
        <v>1</v>
      </c>
      <c r="AB22" s="1510">
        <v>1</v>
      </c>
      <c r="AC22" s="1510">
        <v>1</v>
      </c>
    </row>
    <row r="23" spans="1:29" ht="57">
      <c r="A23" s="526"/>
      <c r="B23" s="554" t="s">
        <v>771</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86"/>
      <c r="Q23" s="1506" t="str">
        <f>B23</f>
        <v>环境质量</v>
      </c>
      <c r="R23" s="1507" t="s">
        <v>8</v>
      </c>
      <c r="S23" s="1508">
        <f>F23</f>
        <v>100</v>
      </c>
      <c r="T23" s="1507" t="s">
        <v>8</v>
      </c>
      <c r="U23" s="1508">
        <f>H23</f>
        <v>100</v>
      </c>
      <c r="V23" s="1507" t="s">
        <v>8</v>
      </c>
      <c r="W23" s="1508">
        <f>J23</f>
        <v>100</v>
      </c>
      <c r="X23" s="1501"/>
      <c r="Y23" s="348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86"/>
      <c r="Q24" s="1506"/>
      <c r="R24" s="1507"/>
      <c r="S24" s="1508"/>
      <c r="T24" s="1507"/>
      <c r="U24" s="1508"/>
      <c r="V24" s="1507"/>
      <c r="W24" s="1508"/>
      <c r="X24" s="1501"/>
      <c r="Y24" s="3486"/>
      <c r="Z24" s="1509"/>
      <c r="AA24" s="1510">
        <v>1</v>
      </c>
      <c r="AB24" s="1510">
        <v>1</v>
      </c>
      <c r="AC24" s="1510">
        <v>1</v>
      </c>
    </row>
    <row r="25" spans="1:29" ht="27">
      <c r="A25" s="509"/>
      <c r="B25" s="554" t="s">
        <v>541</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86"/>
      <c r="Q25" s="1506" t="str">
        <f>B25</f>
        <v>毗邻道路的类型与等级</v>
      </c>
      <c r="R25" s="1507" t="s">
        <v>8</v>
      </c>
      <c r="S25" s="1508">
        <f>F25</f>
        <v>100</v>
      </c>
      <c r="T25" s="1507" t="s">
        <v>8</v>
      </c>
      <c r="U25" s="1508">
        <f>H25</f>
        <v>100</v>
      </c>
      <c r="V25" s="1507" t="s">
        <v>8</v>
      </c>
      <c r="W25" s="1508">
        <f>J25</f>
        <v>100</v>
      </c>
      <c r="X25" s="1501"/>
      <c r="Y25" s="348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86"/>
      <c r="Q26" s="1506"/>
      <c r="R26" s="1507"/>
      <c r="S26" s="1508"/>
      <c r="T26" s="1507"/>
      <c r="U26" s="1508"/>
      <c r="V26" s="1507"/>
      <c r="W26" s="1508"/>
      <c r="X26" s="1501"/>
      <c r="Y26" s="3486"/>
      <c r="Z26" s="1509"/>
      <c r="AA26" s="1510">
        <v>1</v>
      </c>
      <c r="AB26" s="1510">
        <v>1</v>
      </c>
      <c r="AC26" s="1510">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86"/>
      <c r="Q27" s="1506" t="str">
        <f t="shared" ref="Q27:Q47" si="11">B27</f>
        <v>楼层</v>
      </c>
      <c r="R27" s="1507" t="s">
        <v>8</v>
      </c>
      <c r="S27" s="1508">
        <f>F27</f>
        <v>100</v>
      </c>
      <c r="T27" s="1507" t="s">
        <v>8</v>
      </c>
      <c r="U27" s="1508">
        <f>H27</f>
        <v>100</v>
      </c>
      <c r="V27" s="1507" t="s">
        <v>8</v>
      </c>
      <c r="W27" s="1508">
        <f>J27</f>
        <v>100</v>
      </c>
      <c r="X27" s="1501"/>
      <c r="Y27" s="3486"/>
      <c r="Z27" s="1509" t="str">
        <f>Q27</f>
        <v>楼层</v>
      </c>
      <c r="AA27" s="1510">
        <f t="shared" si="3"/>
        <v>1</v>
      </c>
      <c r="AB27" s="1510">
        <f t="shared" si="4"/>
        <v>1</v>
      </c>
      <c r="AC27" s="1510">
        <f t="shared" si="5"/>
        <v>1</v>
      </c>
    </row>
    <row r="28" spans="1:29" s="1203" customFormat="1" ht="15">
      <c r="A28" s="530"/>
      <c r="B28" s="554" t="s">
        <v>772</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86"/>
      <c r="Q28" s="1134" t="str">
        <f t="shared" si="11"/>
        <v>朝向</v>
      </c>
      <c r="R28" s="1502" t="s">
        <v>8</v>
      </c>
      <c r="S28" s="1503">
        <f>F28</f>
        <v>100</v>
      </c>
      <c r="T28" s="1502" t="s">
        <v>8</v>
      </c>
      <c r="U28" s="1503">
        <f>H28</f>
        <v>100</v>
      </c>
      <c r="V28" s="1502" t="s">
        <v>8</v>
      </c>
      <c r="W28" s="1503">
        <f>J28</f>
        <v>100</v>
      </c>
      <c r="X28" s="1504"/>
      <c r="Y28" s="3486"/>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86"/>
      <c r="Q29" s="1506">
        <f t="shared" si="11"/>
        <v>111</v>
      </c>
      <c r="R29" s="1507" t="s">
        <v>8</v>
      </c>
      <c r="S29" s="1508">
        <f t="shared" ref="S29:S47" si="12">F29</f>
        <v>100</v>
      </c>
      <c r="T29" s="1507" t="s">
        <v>8</v>
      </c>
      <c r="U29" s="1508">
        <f t="shared" ref="U29:U47" si="13">H29</f>
        <v>100</v>
      </c>
      <c r="V29" s="1507" t="s">
        <v>8</v>
      </c>
      <c r="W29" s="1508">
        <f t="shared" ref="W29:W47" si="14">J29</f>
        <v>100</v>
      </c>
      <c r="X29" s="1501"/>
      <c r="Y29" s="3486"/>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86"/>
      <c r="Q30" s="1506">
        <f t="shared" si="11"/>
        <v>111</v>
      </c>
      <c r="R30" s="1507" t="s">
        <v>8</v>
      </c>
      <c r="S30" s="1508">
        <f t="shared" si="12"/>
        <v>100</v>
      </c>
      <c r="T30" s="1507" t="s">
        <v>8</v>
      </c>
      <c r="U30" s="1508">
        <f t="shared" si="13"/>
        <v>100</v>
      </c>
      <c r="V30" s="1507" t="s">
        <v>8</v>
      </c>
      <c r="W30" s="1508">
        <f t="shared" si="14"/>
        <v>100</v>
      </c>
      <c r="X30" s="1501"/>
      <c r="Y30" s="3486"/>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86"/>
      <c r="Q31" s="1506">
        <f t="shared" si="11"/>
        <v>111</v>
      </c>
      <c r="R31" s="1507" t="s">
        <v>8</v>
      </c>
      <c r="S31" s="1508">
        <f t="shared" si="12"/>
        <v>100</v>
      </c>
      <c r="T31" s="1507" t="s">
        <v>8</v>
      </c>
      <c r="U31" s="1508">
        <f t="shared" si="13"/>
        <v>100</v>
      </c>
      <c r="V31" s="1507" t="s">
        <v>8</v>
      </c>
      <c r="W31" s="1508">
        <f t="shared" si="14"/>
        <v>100</v>
      </c>
      <c r="X31" s="1501"/>
      <c r="Y31" s="3486"/>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86"/>
      <c r="Q32" s="1506">
        <f t="shared" si="11"/>
        <v>111</v>
      </c>
      <c r="R32" s="1507" t="s">
        <v>8</v>
      </c>
      <c r="S32" s="1508">
        <f t="shared" si="12"/>
        <v>100</v>
      </c>
      <c r="T32" s="1507" t="s">
        <v>8</v>
      </c>
      <c r="U32" s="1508">
        <f t="shared" si="13"/>
        <v>100</v>
      </c>
      <c r="V32" s="1507" t="s">
        <v>8</v>
      </c>
      <c r="W32" s="1508">
        <f t="shared" si="14"/>
        <v>100</v>
      </c>
      <c r="X32" s="1501"/>
      <c r="Y32" s="3486"/>
      <c r="Z32" s="1509">
        <f t="shared" si="15"/>
        <v>111</v>
      </c>
      <c r="AA32" s="1510">
        <f t="shared" si="3"/>
        <v>1</v>
      </c>
      <c r="AB32" s="1510">
        <f t="shared" si="4"/>
        <v>1</v>
      </c>
      <c r="AC32" s="1510">
        <f t="shared" si="5"/>
        <v>1</v>
      </c>
    </row>
    <row r="33" spans="1:29" ht="15">
      <c r="A33" s="2624" t="s">
        <v>2734</v>
      </c>
      <c r="B33" s="170" t="s">
        <v>773</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87" t="s">
        <v>543</v>
      </c>
      <c r="Q33" s="1506" t="str">
        <f t="shared" si="11"/>
        <v>建筑类型</v>
      </c>
      <c r="R33" s="1507" t="s">
        <v>8</v>
      </c>
      <c r="S33" s="1508">
        <f t="shared" si="12"/>
        <v>100</v>
      </c>
      <c r="T33" s="1507" t="s">
        <v>8</v>
      </c>
      <c r="U33" s="1508">
        <f t="shared" si="13"/>
        <v>100</v>
      </c>
      <c r="V33" s="1507" t="s">
        <v>8</v>
      </c>
      <c r="W33" s="1508">
        <f t="shared" si="14"/>
        <v>100</v>
      </c>
      <c r="X33" s="1501"/>
      <c r="Y33" s="3488" t="s">
        <v>543</v>
      </c>
      <c r="Z33" s="1509" t="str">
        <f t="shared" si="15"/>
        <v>建筑类型</v>
      </c>
      <c r="AA33" s="1510">
        <f t="shared" si="3"/>
        <v>1</v>
      </c>
      <c r="AB33" s="1510">
        <f t="shared" si="4"/>
        <v>1</v>
      </c>
      <c r="AC33" s="1510">
        <f t="shared" si="5"/>
        <v>1</v>
      </c>
    </row>
    <row r="34" spans="1:29" s="1293" customFormat="1" ht="15">
      <c r="A34" s="597"/>
      <c r="B34" s="521" t="s">
        <v>719</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88"/>
      <c r="Q34" s="1535" t="str">
        <f t="shared" si="11"/>
        <v>项目建筑规模</v>
      </c>
      <c r="R34" s="1511" t="s">
        <v>8</v>
      </c>
      <c r="S34" s="1512" t="e">
        <f t="shared" si="12"/>
        <v>#N/A</v>
      </c>
      <c r="T34" s="1511" t="s">
        <v>8</v>
      </c>
      <c r="U34" s="1512" t="e">
        <f t="shared" si="13"/>
        <v>#N/A</v>
      </c>
      <c r="V34" s="1511" t="s">
        <v>8</v>
      </c>
      <c r="W34" s="1512" t="e">
        <f t="shared" si="14"/>
        <v>#N/A</v>
      </c>
      <c r="X34" s="1513"/>
      <c r="Y34" s="3488"/>
      <c r="Z34" s="1514" t="str">
        <f t="shared" si="15"/>
        <v>项目建筑规模</v>
      </c>
      <c r="AA34" s="1510" t="e">
        <f t="shared" si="3"/>
        <v>#N/A</v>
      </c>
      <c r="AB34" s="1510" t="e">
        <f t="shared" si="4"/>
        <v>#N/A</v>
      </c>
      <c r="AC34" s="1510"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88"/>
      <c r="Q35" s="1506" t="str">
        <f t="shared" si="11"/>
        <v>建筑结构</v>
      </c>
      <c r="R35" s="1507" t="s">
        <v>8</v>
      </c>
      <c r="S35" s="1508">
        <f t="shared" si="12"/>
        <v>100</v>
      </c>
      <c r="T35" s="1507" t="s">
        <v>8</v>
      </c>
      <c r="U35" s="1508">
        <f t="shared" si="13"/>
        <v>100</v>
      </c>
      <c r="V35" s="1507" t="s">
        <v>8</v>
      </c>
      <c r="W35" s="1508">
        <f t="shared" si="14"/>
        <v>100</v>
      </c>
      <c r="X35" s="1501"/>
      <c r="Y35" s="3488"/>
      <c r="Z35" s="1509" t="str">
        <f t="shared" si="15"/>
        <v>建筑结构</v>
      </c>
      <c r="AA35" s="1510">
        <f t="shared" si="3"/>
        <v>1</v>
      </c>
      <c r="AB35" s="1510">
        <f t="shared" si="4"/>
        <v>1</v>
      </c>
      <c r="AC35" s="1510">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88"/>
      <c r="Q36" s="1506" t="str">
        <f t="shared" si="11"/>
        <v>公共部分装修</v>
      </c>
      <c r="R36" s="1507" t="s">
        <v>8</v>
      </c>
      <c r="S36" s="1508">
        <f t="shared" si="12"/>
        <v>100</v>
      </c>
      <c r="T36" s="1507" t="s">
        <v>8</v>
      </c>
      <c r="U36" s="1508">
        <f t="shared" si="13"/>
        <v>100</v>
      </c>
      <c r="V36" s="1507" t="s">
        <v>8</v>
      </c>
      <c r="W36" s="1508">
        <f t="shared" si="14"/>
        <v>100</v>
      </c>
      <c r="X36" s="1501"/>
      <c r="Y36" s="3488"/>
      <c r="Z36" s="1509" t="str">
        <f t="shared" si="15"/>
        <v>公共部分装修</v>
      </c>
      <c r="AA36" s="1510">
        <f t="shared" si="3"/>
        <v>1</v>
      </c>
      <c r="AB36" s="1510">
        <f t="shared" si="4"/>
        <v>1</v>
      </c>
      <c r="AC36" s="1510">
        <f t="shared" si="5"/>
        <v>1</v>
      </c>
    </row>
    <row r="37" spans="1:29" ht="15">
      <c r="A37" s="588"/>
      <c r="B37" s="521" t="s">
        <v>757</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88"/>
      <c r="Q37" s="1506" t="str">
        <f t="shared" si="11"/>
        <v>成新度</v>
      </c>
      <c r="R37" s="1507" t="s">
        <v>8</v>
      </c>
      <c r="S37" s="1508" t="e">
        <f t="shared" si="12"/>
        <v>#N/A</v>
      </c>
      <c r="T37" s="1507" t="s">
        <v>8</v>
      </c>
      <c r="U37" s="1508" t="e">
        <f t="shared" si="13"/>
        <v>#N/A</v>
      </c>
      <c r="V37" s="1507" t="s">
        <v>8</v>
      </c>
      <c r="W37" s="1508" t="e">
        <f t="shared" si="14"/>
        <v>#N/A</v>
      </c>
      <c r="X37" s="1501"/>
      <c r="Y37" s="3488"/>
      <c r="Z37" s="1509" t="str">
        <f t="shared" si="15"/>
        <v>成新度</v>
      </c>
      <c r="AA37" s="1510" t="e">
        <f t="shared" si="3"/>
        <v>#N/A</v>
      </c>
      <c r="AB37" s="1510" t="e">
        <f t="shared" si="4"/>
        <v>#N/A</v>
      </c>
      <c r="AC37" s="1510" t="e">
        <f t="shared" si="5"/>
        <v>#N/A</v>
      </c>
    </row>
    <row r="38" spans="1:29" s="1203"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88"/>
      <c r="Q38" s="1134" t="str">
        <f t="shared" si="11"/>
        <v>写字楼等级</v>
      </c>
      <c r="R38" s="1502" t="s">
        <v>8</v>
      </c>
      <c r="S38" s="1503">
        <f t="shared" si="12"/>
        <v>100</v>
      </c>
      <c r="T38" s="1502" t="s">
        <v>8</v>
      </c>
      <c r="U38" s="1503">
        <f t="shared" si="13"/>
        <v>100</v>
      </c>
      <c r="V38" s="1502" t="s">
        <v>8</v>
      </c>
      <c r="W38" s="1503">
        <f t="shared" si="14"/>
        <v>100</v>
      </c>
      <c r="X38" s="1504"/>
      <c r="Y38" s="3488"/>
      <c r="Z38" s="1133" t="str">
        <f t="shared" si="15"/>
        <v>写字楼等级</v>
      </c>
      <c r="AA38" s="1505">
        <f t="shared" si="3"/>
        <v>1</v>
      </c>
      <c r="AB38" s="1505">
        <f t="shared" si="4"/>
        <v>1</v>
      </c>
      <c r="AC38" s="1505">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88" t="s">
        <v>543</v>
      </c>
      <c r="Q39" s="1506" t="str">
        <f t="shared" si="11"/>
        <v>物业管理</v>
      </c>
      <c r="R39" s="1507" t="s">
        <v>8</v>
      </c>
      <c r="S39" s="1508">
        <f t="shared" si="12"/>
        <v>100</v>
      </c>
      <c r="T39" s="1507" t="s">
        <v>8</v>
      </c>
      <c r="U39" s="1508">
        <f t="shared" si="13"/>
        <v>100</v>
      </c>
      <c r="V39" s="1507" t="s">
        <v>8</v>
      </c>
      <c r="W39" s="1508">
        <f t="shared" si="14"/>
        <v>100</v>
      </c>
      <c r="X39" s="1501"/>
      <c r="Y39" s="3488" t="s">
        <v>543</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88"/>
      <c r="Q40" s="1506" t="str">
        <f t="shared" si="11"/>
        <v>市政基础设施</v>
      </c>
      <c r="R40" s="1507" t="s">
        <v>8</v>
      </c>
      <c r="S40" s="1508">
        <f t="shared" si="12"/>
        <v>100</v>
      </c>
      <c r="T40" s="1507" t="s">
        <v>8</v>
      </c>
      <c r="U40" s="1508">
        <f t="shared" si="13"/>
        <v>100</v>
      </c>
      <c r="V40" s="1507" t="s">
        <v>8</v>
      </c>
      <c r="W40" s="1508">
        <f t="shared" si="14"/>
        <v>100</v>
      </c>
      <c r="X40" s="1501"/>
      <c r="Y40" s="3488"/>
      <c r="Z40" s="1509" t="str">
        <f t="shared" si="15"/>
        <v>市政基础设施</v>
      </c>
      <c r="AA40" s="1510">
        <f t="shared" si="3"/>
        <v>1</v>
      </c>
      <c r="AB40" s="1510">
        <f t="shared" si="4"/>
        <v>1</v>
      </c>
      <c r="AC40" s="1510">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88"/>
      <c r="Q41" s="1506" t="str">
        <f t="shared" si="11"/>
        <v>层高</v>
      </c>
      <c r="R41" s="1507" t="s">
        <v>8</v>
      </c>
      <c r="S41" s="1508">
        <f t="shared" si="12"/>
        <v>100</v>
      </c>
      <c r="T41" s="1507" t="s">
        <v>8</v>
      </c>
      <c r="U41" s="1508">
        <f t="shared" si="13"/>
        <v>100</v>
      </c>
      <c r="V41" s="1507" t="s">
        <v>8</v>
      </c>
      <c r="W41" s="1508">
        <f t="shared" si="14"/>
        <v>100</v>
      </c>
      <c r="X41" s="1501"/>
      <c r="Y41" s="3488"/>
      <c r="Z41" s="1509" t="str">
        <f t="shared" si="15"/>
        <v>层高</v>
      </c>
      <c r="AA41" s="1510">
        <f t="shared" si="3"/>
        <v>1</v>
      </c>
      <c r="AB41" s="1510">
        <f t="shared" si="4"/>
        <v>1</v>
      </c>
      <c r="AC41" s="1510">
        <f t="shared" si="5"/>
        <v>1</v>
      </c>
    </row>
    <row r="42" spans="1:29" s="1293" customFormat="1" ht="15">
      <c r="A42" s="597"/>
      <c r="B42" s="893"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88"/>
      <c r="Q42" s="1535" t="str">
        <f t="shared" si="11"/>
        <v>单套建筑面积</v>
      </c>
      <c r="R42" s="1511" t="s">
        <v>8</v>
      </c>
      <c r="S42" s="1512">
        <f t="shared" si="12"/>
        <v>100</v>
      </c>
      <c r="T42" s="1511" t="s">
        <v>8</v>
      </c>
      <c r="U42" s="1512">
        <f t="shared" si="13"/>
        <v>100</v>
      </c>
      <c r="V42" s="1511" t="s">
        <v>8</v>
      </c>
      <c r="W42" s="1512">
        <f t="shared" si="14"/>
        <v>100</v>
      </c>
      <c r="X42" s="1513"/>
      <c r="Y42" s="3488"/>
      <c r="Z42" s="1514" t="str">
        <f t="shared" si="15"/>
        <v>单套建筑面积</v>
      </c>
      <c r="AA42" s="1510">
        <f t="shared" si="3"/>
        <v>1</v>
      </c>
      <c r="AB42" s="1510">
        <f t="shared" si="4"/>
        <v>1</v>
      </c>
      <c r="AC42" s="1510">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88"/>
      <c r="Q43" s="1506" t="str">
        <f t="shared" si="11"/>
        <v>内部装修</v>
      </c>
      <c r="R43" s="1507" t="s">
        <v>8</v>
      </c>
      <c r="S43" s="1508">
        <f t="shared" si="12"/>
        <v>100</v>
      </c>
      <c r="T43" s="1507" t="s">
        <v>8</v>
      </c>
      <c r="U43" s="1508">
        <f t="shared" si="13"/>
        <v>100</v>
      </c>
      <c r="V43" s="1507" t="s">
        <v>8</v>
      </c>
      <c r="W43" s="1508">
        <f t="shared" si="14"/>
        <v>100</v>
      </c>
      <c r="X43" s="1501"/>
      <c r="Y43" s="3488"/>
      <c r="Z43" s="1509" t="str">
        <f t="shared" si="15"/>
        <v>内部装修</v>
      </c>
      <c r="AA43" s="1510">
        <f t="shared" si="3"/>
        <v>1</v>
      </c>
      <c r="AB43" s="1510">
        <f t="shared" si="4"/>
        <v>1</v>
      </c>
      <c r="AC43" s="1510">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88"/>
      <c r="Q44" s="1506" t="str">
        <f t="shared" si="11"/>
        <v>内部装修维护情况</v>
      </c>
      <c r="R44" s="1507" t="s">
        <v>8</v>
      </c>
      <c r="S44" s="1508">
        <f t="shared" si="12"/>
        <v>100</v>
      </c>
      <c r="T44" s="1507" t="s">
        <v>8</v>
      </c>
      <c r="U44" s="1508">
        <f t="shared" si="13"/>
        <v>100</v>
      </c>
      <c r="V44" s="1507" t="s">
        <v>8</v>
      </c>
      <c r="W44" s="1508">
        <f t="shared" si="14"/>
        <v>100</v>
      </c>
      <c r="X44" s="1501"/>
      <c r="Y44" s="3488"/>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88"/>
      <c r="Q45" s="1134">
        <f t="shared" si="11"/>
        <v>111</v>
      </c>
      <c r="R45" s="1502" t="s">
        <v>8</v>
      </c>
      <c r="S45" s="1503">
        <f t="shared" si="12"/>
        <v>100</v>
      </c>
      <c r="T45" s="1502" t="s">
        <v>8</v>
      </c>
      <c r="U45" s="1503">
        <f t="shared" si="13"/>
        <v>100</v>
      </c>
      <c r="V45" s="1502" t="s">
        <v>8</v>
      </c>
      <c r="W45" s="1503">
        <f t="shared" si="14"/>
        <v>100</v>
      </c>
      <c r="X45" s="1504"/>
      <c r="Y45" s="3488"/>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88"/>
      <c r="Q46" s="1506">
        <f t="shared" si="11"/>
        <v>111</v>
      </c>
      <c r="R46" s="1507" t="s">
        <v>8</v>
      </c>
      <c r="S46" s="1508">
        <f t="shared" si="12"/>
        <v>100</v>
      </c>
      <c r="T46" s="1507" t="s">
        <v>8</v>
      </c>
      <c r="U46" s="1508">
        <f t="shared" si="13"/>
        <v>100</v>
      </c>
      <c r="V46" s="1507" t="s">
        <v>8</v>
      </c>
      <c r="W46" s="1508">
        <f t="shared" si="14"/>
        <v>100</v>
      </c>
      <c r="X46" s="1501"/>
      <c r="Y46" s="3488"/>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9"/>
      <c r="Q47" s="1506">
        <f t="shared" si="11"/>
        <v>111</v>
      </c>
      <c r="R47" s="1507" t="s">
        <v>8</v>
      </c>
      <c r="S47" s="1508">
        <f t="shared" si="12"/>
        <v>100</v>
      </c>
      <c r="T47" s="1507" t="s">
        <v>8</v>
      </c>
      <c r="U47" s="1508">
        <f t="shared" si="13"/>
        <v>100</v>
      </c>
      <c r="V47" s="1507" t="s">
        <v>8</v>
      </c>
      <c r="W47" s="1508">
        <f t="shared" si="14"/>
        <v>100</v>
      </c>
      <c r="X47" s="1501"/>
      <c r="Y47" s="3589"/>
      <c r="Z47" s="1509">
        <f t="shared" si="15"/>
        <v>111</v>
      </c>
      <c r="AA47" s="1510">
        <f t="shared" si="3"/>
        <v>1</v>
      </c>
      <c r="AB47" s="1510">
        <f t="shared" si="4"/>
        <v>1</v>
      </c>
      <c r="AC47" s="1510">
        <f t="shared" si="5"/>
        <v>1</v>
      </c>
    </row>
    <row r="48" spans="1:29" ht="15">
      <c r="A48" s="601" t="s">
        <v>729</v>
      </c>
      <c r="B48" s="876"/>
      <c r="C48" s="2470" t="s">
        <v>1</v>
      </c>
      <c r="D48" s="2471"/>
      <c r="E48" s="2472"/>
      <c r="F48" s="2473"/>
      <c r="G48" s="2474"/>
      <c r="H48" s="2475"/>
      <c r="I48" s="2472"/>
      <c r="J48" s="2475"/>
      <c r="K48" s="1540"/>
      <c r="L48" s="2026"/>
      <c r="M48" s="2016"/>
      <c r="N48" s="2016"/>
      <c r="O48" s="2016"/>
      <c r="P48" s="3505" t="str">
        <f>A48</f>
        <v>成交单价（元/平方米）</v>
      </c>
      <c r="Q48" s="3483"/>
      <c r="R48" s="3588">
        <f>E48</f>
        <v>0</v>
      </c>
      <c r="S48" s="3588"/>
      <c r="T48" s="3588">
        <f>G48</f>
        <v>0</v>
      </c>
      <c r="U48" s="3588"/>
      <c r="V48" s="3588">
        <f>I48</f>
        <v>0</v>
      </c>
      <c r="W48" s="3588"/>
      <c r="X48" s="1496"/>
      <c r="Y48" s="1515"/>
      <c r="Z48" s="1496"/>
      <c r="AA48" s="1496"/>
      <c r="AB48" s="1496"/>
      <c r="AC48" s="1496"/>
    </row>
    <row r="49" spans="1:29" ht="15.75" thickBot="1">
      <c r="A49" s="609" t="s">
        <v>2739</v>
      </c>
      <c r="B49" s="877"/>
      <c r="C49" s="2476" t="e">
        <f>R50</f>
        <v>#DIV/0!</v>
      </c>
      <c r="D49" s="3013" t="s">
        <v>2965</v>
      </c>
      <c r="E49" s="2477" t="e">
        <f>R49</f>
        <v>#DIV/0!</v>
      </c>
      <c r="F49" s="3014"/>
      <c r="G49" s="2476" t="e">
        <f>T49</f>
        <v>#DIV/0!</v>
      </c>
      <c r="H49" s="3014"/>
      <c r="I49" s="2477" t="e">
        <f>V49</f>
        <v>#DIV/0!</v>
      </c>
      <c r="J49" s="3014"/>
      <c r="K49" s="3022">
        <f>F49+H49+J49</f>
        <v>0</v>
      </c>
      <c r="L49" s="2026"/>
      <c r="M49" s="2016"/>
      <c r="N49" s="2016"/>
      <c r="O49" s="2016"/>
      <c r="P49" s="3505" t="str">
        <f>A49</f>
        <v>比较价格（元/平方米）</v>
      </c>
      <c r="Q49" s="3483"/>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593" t="str">
        <f>A50</f>
        <v>估价对象XX用房的比较价格（楼面单价，元/平方米）</v>
      </c>
      <c r="Q50" s="3505"/>
      <c r="R50" s="3587" t="e">
        <f>IF(F1="售价",ROUND(IF(D49="简单平均",AVERAGE(R49:V49),R49*F49+T49*H49+V49*J49),0),ROUND(IF(D49="简单平均",AVERAGE(R49:V49),R49*F49+T49*H49+V49*J49),1))</f>
        <v>#DIV/0!</v>
      </c>
      <c r="S50" s="3587"/>
      <c r="T50" s="3587"/>
      <c r="U50" s="3587"/>
      <c r="V50" s="3587"/>
      <c r="W50" s="3587"/>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3"/>
      <c r="B55" s="3213"/>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567</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522</v>
      </c>
      <c r="B59" s="638"/>
      <c r="C59" s="2519" t="str">
        <f>YEAR(C7)&amp;"-"&amp;MONTH(C7)</f>
        <v>2021-9</v>
      </c>
      <c r="D59" s="2521">
        <f>EDATE(C59,-1)</f>
        <v>44409</v>
      </c>
      <c r="E59" s="2521">
        <f t="shared" ref="E59:O59" si="16">EDATE(D59,-1)</f>
        <v>44378</v>
      </c>
      <c r="F59" s="2521">
        <f t="shared" si="16"/>
        <v>44348</v>
      </c>
      <c r="G59" s="2521">
        <f t="shared" si="16"/>
        <v>44317</v>
      </c>
      <c r="H59" s="2521">
        <f t="shared" si="16"/>
        <v>44287</v>
      </c>
      <c r="I59" s="2521">
        <f t="shared" si="16"/>
        <v>44256</v>
      </c>
      <c r="J59" s="2521">
        <f t="shared" si="16"/>
        <v>44228</v>
      </c>
      <c r="K59" s="2521">
        <f t="shared" si="16"/>
        <v>44197</v>
      </c>
      <c r="L59" s="2521">
        <f t="shared" si="16"/>
        <v>44166</v>
      </c>
      <c r="M59" s="2521">
        <f t="shared" si="16"/>
        <v>44136</v>
      </c>
      <c r="N59" s="2521">
        <f t="shared" si="16"/>
        <v>44105</v>
      </c>
      <c r="O59" s="2521">
        <f t="shared" si="16"/>
        <v>44075</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568</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524</v>
      </c>
      <c r="B62" s="640"/>
      <c r="C62" s="652" t="s">
        <v>569</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570</v>
      </c>
      <c r="B64" s="657" t="s">
        <v>527</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532</v>
      </c>
      <c r="B77" s="657" t="s">
        <v>578</v>
      </c>
      <c r="C77" s="695" t="s">
        <v>572</v>
      </c>
      <c r="D77" s="695" t="s">
        <v>573</v>
      </c>
      <c r="E77" s="695" t="s">
        <v>574</v>
      </c>
      <c r="F77" s="695" t="s">
        <v>575</v>
      </c>
      <c r="G77" s="695" t="s">
        <v>576</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579</v>
      </c>
      <c r="C79" s="700" t="s">
        <v>572</v>
      </c>
      <c r="D79" s="700" t="s">
        <v>573</v>
      </c>
      <c r="E79" s="700" t="s">
        <v>574</v>
      </c>
      <c r="F79" s="700" t="s">
        <v>575</v>
      </c>
      <c r="G79" s="700" t="s">
        <v>576</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572</v>
      </c>
      <c r="D81" s="700" t="s">
        <v>573</v>
      </c>
      <c r="E81" s="700" t="s">
        <v>574</v>
      </c>
      <c r="F81" s="700" t="s">
        <v>575</v>
      </c>
      <c r="G81" s="700" t="s">
        <v>576</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777</v>
      </c>
      <c r="C85" s="700" t="s">
        <v>572</v>
      </c>
      <c r="D85" s="700" t="s">
        <v>573</v>
      </c>
      <c r="E85" s="700" t="s">
        <v>574</v>
      </c>
      <c r="F85" s="700" t="s">
        <v>575</v>
      </c>
      <c r="G85" s="700" t="s">
        <v>576</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778</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544</v>
      </c>
      <c r="B101" s="657" t="s">
        <v>740</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742</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744</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779</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746</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780</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768</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748</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781</v>
      </c>
      <c r="C1" s="498" t="s">
        <v>713</v>
      </c>
      <c r="D1" s="838"/>
      <c r="E1" s="500"/>
      <c r="F1" s="2524"/>
      <c r="G1" s="1531" t="s">
        <v>714</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90" customFormat="1" ht="28.5" customHeight="1">
      <c r="A2" s="417" t="s">
        <v>460</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512</v>
      </c>
      <c r="B3" s="504" t="e">
        <f>C43</f>
        <v>#DIV/0!</v>
      </c>
      <c r="C3" s="841" t="s">
        <v>715</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514</v>
      </c>
      <c r="B4" s="507"/>
      <c r="C4" s="3489" t="s">
        <v>515</v>
      </c>
      <c r="D4" s="3490"/>
      <c r="E4" s="3514" t="s">
        <v>516</v>
      </c>
      <c r="F4" s="3515"/>
      <c r="G4" s="3489" t="s">
        <v>517</v>
      </c>
      <c r="H4" s="3490"/>
      <c r="I4" s="3489" t="s">
        <v>518</v>
      </c>
      <c r="J4" s="3490"/>
      <c r="K4" s="508" t="s">
        <v>519</v>
      </c>
      <c r="L4" s="2015"/>
      <c r="M4" s="2016"/>
      <c r="N4" s="2016"/>
      <c r="O4" s="2016"/>
      <c r="P4" s="3491" t="s">
        <v>520</v>
      </c>
      <c r="Q4" s="3492"/>
      <c r="R4" s="3477" t="s">
        <v>516</v>
      </c>
      <c r="S4" s="3478"/>
      <c r="T4" s="3477" t="s">
        <v>517</v>
      </c>
      <c r="U4" s="3478"/>
      <c r="V4" s="3497" t="s">
        <v>518</v>
      </c>
      <c r="W4" s="3497"/>
      <c r="X4" s="1501"/>
      <c r="Y4" s="3477" t="s">
        <v>520</v>
      </c>
      <c r="Z4" s="3478"/>
      <c r="AA4" s="3472" t="s">
        <v>516</v>
      </c>
      <c r="AB4" s="3473" t="s">
        <v>517</v>
      </c>
      <c r="AC4" s="3472" t="s">
        <v>518</v>
      </c>
    </row>
    <row r="5" spans="1:29" ht="15">
      <c r="A5" s="509"/>
      <c r="B5" s="510"/>
      <c r="C5" s="3500" t="s">
        <v>2891</v>
      </c>
      <c r="D5" s="3501"/>
      <c r="E5" s="3516" t="s">
        <v>2892</v>
      </c>
      <c r="F5" s="3517"/>
      <c r="G5" s="3500" t="s">
        <v>2893</v>
      </c>
      <c r="H5" s="3501"/>
      <c r="I5" s="3500" t="s">
        <v>2894</v>
      </c>
      <c r="J5" s="3501"/>
      <c r="K5" s="508"/>
      <c r="L5" s="2015"/>
      <c r="M5" s="2016"/>
      <c r="N5" s="2016"/>
      <c r="O5" s="2016"/>
      <c r="P5" s="3493"/>
      <c r="Q5" s="3494"/>
      <c r="R5" s="3479"/>
      <c r="S5" s="3480"/>
      <c r="T5" s="3479"/>
      <c r="U5" s="3480"/>
      <c r="V5" s="3497"/>
      <c r="W5" s="3497"/>
      <c r="X5" s="1501"/>
      <c r="Y5" s="3479"/>
      <c r="Z5" s="3480"/>
      <c r="AA5" s="3473"/>
      <c r="AB5" s="3473"/>
      <c r="AC5" s="3473"/>
    </row>
    <row r="6" spans="1:29" ht="15.75" thickBot="1">
      <c r="A6" s="511"/>
      <c r="B6" s="512"/>
      <c r="C6" s="3498" t="s">
        <v>2895</v>
      </c>
      <c r="D6" s="3499"/>
      <c r="E6" s="3518" t="s">
        <v>2895</v>
      </c>
      <c r="F6" s="3519"/>
      <c r="G6" s="3498" t="s">
        <v>2895</v>
      </c>
      <c r="H6" s="3499"/>
      <c r="I6" s="3498" t="s">
        <v>2895</v>
      </c>
      <c r="J6" s="3499"/>
      <c r="K6" s="508" t="s">
        <v>521</v>
      </c>
      <c r="L6" s="2015"/>
      <c r="M6" s="2016"/>
      <c r="N6" s="2016"/>
      <c r="O6" s="2016"/>
      <c r="P6" s="3495"/>
      <c r="Q6" s="3496"/>
      <c r="R6" s="3479"/>
      <c r="S6" s="3480"/>
      <c r="T6" s="3481"/>
      <c r="U6" s="3482"/>
      <c r="V6" s="3497"/>
      <c r="W6" s="3497"/>
      <c r="X6" s="1501"/>
      <c r="Y6" s="3481"/>
      <c r="Z6" s="3482"/>
      <c r="AA6" s="3474"/>
      <c r="AB6" s="3474"/>
      <c r="AC6" s="3474"/>
    </row>
    <row r="7" spans="1:29" s="1203" customFormat="1" ht="15.75" thickBot="1">
      <c r="A7" s="2629"/>
      <c r="B7" s="2636" t="s">
        <v>522</v>
      </c>
      <c r="C7" s="513">
        <f>'数据-取费表'!B2</f>
        <v>44448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75" t="s">
        <v>523</v>
      </c>
      <c r="Q7" s="3484"/>
      <c r="R7" s="1502" t="s">
        <v>8</v>
      </c>
      <c r="S7" s="1503">
        <f t="shared" ref="S7:S15" si="0">F7</f>
        <v>0</v>
      </c>
      <c r="T7" s="1502" t="s">
        <v>8</v>
      </c>
      <c r="U7" s="1503">
        <f t="shared" ref="U7:U15" si="1">H7</f>
        <v>0</v>
      </c>
      <c r="V7" s="1502" t="s">
        <v>8</v>
      </c>
      <c r="W7" s="1503">
        <f t="shared" ref="W7:W15" si="2">J7</f>
        <v>0</v>
      </c>
      <c r="X7" s="1504"/>
      <c r="Y7" s="3475" t="s">
        <v>523</v>
      </c>
      <c r="Z7" s="3476"/>
      <c r="AA7" s="1505" t="e">
        <f>D7/F7</f>
        <v>#DIV/0!</v>
      </c>
      <c r="AB7" s="1505" t="e">
        <f>D7/H7</f>
        <v>#DIV/0!</v>
      </c>
      <c r="AC7" s="1505" t="e">
        <f>D7/J7</f>
        <v>#DIV/0!</v>
      </c>
    </row>
    <row r="8" spans="1:29" s="1203" customFormat="1" ht="15.75" thickBot="1">
      <c r="A8" s="2630"/>
      <c r="B8" s="2637" t="s">
        <v>524</v>
      </c>
      <c r="C8" s="519" t="s">
        <v>569</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75" t="s">
        <v>526</v>
      </c>
      <c r="Q8" s="3476"/>
      <c r="R8" s="1502" t="s">
        <v>8</v>
      </c>
      <c r="S8" s="1503">
        <f t="shared" si="0"/>
        <v>0</v>
      </c>
      <c r="T8" s="1502" t="s">
        <v>8</v>
      </c>
      <c r="U8" s="1503">
        <f t="shared" si="1"/>
        <v>0</v>
      </c>
      <c r="V8" s="1502" t="s">
        <v>8</v>
      </c>
      <c r="W8" s="1503">
        <f t="shared" si="2"/>
        <v>0</v>
      </c>
      <c r="X8" s="1504"/>
      <c r="Y8" s="3475" t="s">
        <v>526</v>
      </c>
      <c r="Z8" s="3476"/>
      <c r="AA8" s="1505" t="e">
        <f t="shared" ref="AA8:AA40" si="3">D8/F8</f>
        <v>#DIV/0!</v>
      </c>
      <c r="AB8" s="1505" t="e">
        <f t="shared" ref="AB8:AB40" si="4">D8/H8</f>
        <v>#DIV/0!</v>
      </c>
      <c r="AC8" s="1505" t="e">
        <f t="shared" ref="AC8:AC40" si="5">D8/J8</f>
        <v>#DIV/0!</v>
      </c>
    </row>
    <row r="9" spans="1:29" s="1203"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3" t="s">
        <v>528</v>
      </c>
      <c r="Q9" s="1134" t="str">
        <f t="shared" ref="Q9:Q15" si="6">B9</f>
        <v>用途</v>
      </c>
      <c r="R9" s="1502" t="s">
        <v>8</v>
      </c>
      <c r="S9" s="1503">
        <f t="shared" si="0"/>
        <v>100</v>
      </c>
      <c r="T9" s="1502" t="s">
        <v>8</v>
      </c>
      <c r="U9" s="1503">
        <f t="shared" si="1"/>
        <v>100</v>
      </c>
      <c r="V9" s="1502" t="s">
        <v>8</v>
      </c>
      <c r="W9" s="1503">
        <f t="shared" si="2"/>
        <v>100</v>
      </c>
      <c r="X9" s="1504"/>
      <c r="Y9" s="3434"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3"/>
      <c r="Q10" s="1134" t="str">
        <f t="shared" si="6"/>
        <v>土地使用年限（年）</v>
      </c>
      <c r="R10" s="1502" t="s">
        <v>8</v>
      </c>
      <c r="S10" s="1503">
        <f t="shared" si="0"/>
        <v>100</v>
      </c>
      <c r="T10" s="1502" t="s">
        <v>8</v>
      </c>
      <c r="U10" s="1503">
        <f t="shared" si="1"/>
        <v>100</v>
      </c>
      <c r="V10" s="1502" t="s">
        <v>8</v>
      </c>
      <c r="W10" s="1503">
        <f t="shared" si="2"/>
        <v>100</v>
      </c>
      <c r="X10" s="1504"/>
      <c r="Y10" s="3434"/>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3"/>
      <c r="Q11" s="1134" t="str">
        <f t="shared" si="6"/>
        <v>容积率</v>
      </c>
      <c r="R11" s="1502" t="s">
        <v>8</v>
      </c>
      <c r="S11" s="1503" t="e">
        <f t="shared" si="0"/>
        <v>#N/A</v>
      </c>
      <c r="T11" s="1502" t="s">
        <v>8</v>
      </c>
      <c r="U11" s="1503" t="e">
        <f t="shared" si="1"/>
        <v>#N/A</v>
      </c>
      <c r="V11" s="1502" t="s">
        <v>8</v>
      </c>
      <c r="W11" s="1503" t="e">
        <f t="shared" si="2"/>
        <v>#N/A</v>
      </c>
      <c r="X11" s="1504"/>
      <c r="Y11" s="343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83"/>
      <c r="Q12" s="1134">
        <f t="shared" si="6"/>
        <v>111</v>
      </c>
      <c r="R12" s="1502" t="s">
        <v>8</v>
      </c>
      <c r="S12" s="1503">
        <f t="shared" si="0"/>
        <v>100</v>
      </c>
      <c r="T12" s="1502" t="s">
        <v>8</v>
      </c>
      <c r="U12" s="1503">
        <f t="shared" si="1"/>
        <v>100</v>
      </c>
      <c r="V12" s="1502" t="s">
        <v>8</v>
      </c>
      <c r="W12" s="1503">
        <f t="shared" si="2"/>
        <v>100</v>
      </c>
      <c r="X12" s="1504"/>
      <c r="Y12" s="3434"/>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83"/>
      <c r="Q13" s="1134">
        <f t="shared" si="6"/>
        <v>111</v>
      </c>
      <c r="R13" s="1502" t="s">
        <v>8</v>
      </c>
      <c r="S13" s="1503">
        <f t="shared" si="0"/>
        <v>100</v>
      </c>
      <c r="T13" s="1502" t="s">
        <v>8</v>
      </c>
      <c r="U13" s="1503">
        <f t="shared" si="1"/>
        <v>100</v>
      </c>
      <c r="V13" s="1502" t="s">
        <v>8</v>
      </c>
      <c r="W13" s="1503">
        <f t="shared" si="2"/>
        <v>100</v>
      </c>
      <c r="X13" s="1504"/>
      <c r="Y13" s="3434"/>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83"/>
      <c r="Q14" s="1134">
        <f t="shared" si="6"/>
        <v>111</v>
      </c>
      <c r="R14" s="1502" t="s">
        <v>8</v>
      </c>
      <c r="S14" s="1503">
        <f t="shared" si="0"/>
        <v>100</v>
      </c>
      <c r="T14" s="1502" t="s">
        <v>8</v>
      </c>
      <c r="U14" s="1503">
        <f t="shared" si="1"/>
        <v>100</v>
      </c>
      <c r="V14" s="1502" t="s">
        <v>8</v>
      </c>
      <c r="W14" s="1503">
        <f t="shared" si="2"/>
        <v>100</v>
      </c>
      <c r="X14" s="1504"/>
      <c r="Y14" s="3434"/>
      <c r="Z14" s="1133">
        <f t="shared" si="7"/>
        <v>111</v>
      </c>
      <c r="AA14" s="1505">
        <f t="shared" si="3"/>
        <v>1</v>
      </c>
      <c r="AB14" s="1505">
        <f t="shared" si="4"/>
        <v>1</v>
      </c>
      <c r="AC14" s="1505">
        <f t="shared" si="5"/>
        <v>1</v>
      </c>
    </row>
    <row r="15" spans="1:29" ht="57">
      <c r="A15" s="2627" t="s">
        <v>2733</v>
      </c>
      <c r="B15" s="164" t="s">
        <v>782</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85" t="s">
        <v>533</v>
      </c>
      <c r="Q15" s="1506" t="str">
        <f t="shared" si="6"/>
        <v>产业集聚程度</v>
      </c>
      <c r="R15" s="1507" t="s">
        <v>8</v>
      </c>
      <c r="S15" s="1508">
        <f t="shared" si="0"/>
        <v>100</v>
      </c>
      <c r="T15" s="1507" t="s">
        <v>8</v>
      </c>
      <c r="U15" s="1508">
        <f t="shared" si="1"/>
        <v>100</v>
      </c>
      <c r="V15" s="1507" t="s">
        <v>8</v>
      </c>
      <c r="W15" s="1508">
        <f t="shared" si="2"/>
        <v>100</v>
      </c>
      <c r="X15" s="1501"/>
      <c r="Y15" s="3485" t="s">
        <v>533</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86"/>
      <c r="Q16" s="1506"/>
      <c r="R16" s="1507"/>
      <c r="S16" s="1508"/>
      <c r="T16" s="1507"/>
      <c r="U16" s="1508"/>
      <c r="V16" s="1507"/>
      <c r="W16" s="1508"/>
      <c r="X16" s="1501"/>
      <c r="Y16" s="3486"/>
      <c r="Z16" s="1509"/>
      <c r="AA16" s="1510">
        <v>1</v>
      </c>
      <c r="AB16" s="1510">
        <v>1</v>
      </c>
      <c r="AC16" s="1510">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86"/>
      <c r="Q17" s="1506" t="str">
        <f>B17</f>
        <v>交通便捷度</v>
      </c>
      <c r="R17" s="1507" t="s">
        <v>8</v>
      </c>
      <c r="S17" s="1508">
        <f>F17</f>
        <v>100</v>
      </c>
      <c r="T17" s="1507" t="s">
        <v>8</v>
      </c>
      <c r="U17" s="1508">
        <f>H17</f>
        <v>100</v>
      </c>
      <c r="V17" s="1507" t="s">
        <v>8</v>
      </c>
      <c r="W17" s="1508">
        <f>J17</f>
        <v>100</v>
      </c>
      <c r="X17" s="1501"/>
      <c r="Y17" s="348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86"/>
      <c r="Q18" s="1506"/>
      <c r="R18" s="1507"/>
      <c r="S18" s="1508"/>
      <c r="T18" s="1507"/>
      <c r="U18" s="1508"/>
      <c r="V18" s="1507"/>
      <c r="W18" s="1508"/>
      <c r="X18" s="1501"/>
      <c r="Y18" s="3486"/>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86"/>
      <c r="Q19" s="1506" t="str">
        <f>B19</f>
        <v>公共配套设施</v>
      </c>
      <c r="R19" s="1507" t="s">
        <v>8</v>
      </c>
      <c r="S19" s="1508">
        <f>F19</f>
        <v>100</v>
      </c>
      <c r="T19" s="1507" t="s">
        <v>8</v>
      </c>
      <c r="U19" s="1508">
        <f>H19</f>
        <v>100</v>
      </c>
      <c r="V19" s="1507" t="s">
        <v>8</v>
      </c>
      <c r="W19" s="1508">
        <f>J19</f>
        <v>100</v>
      </c>
      <c r="X19" s="1501"/>
      <c r="Y19" s="348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86"/>
      <c r="Q20" s="1506"/>
      <c r="R20" s="1507"/>
      <c r="S20" s="1508"/>
      <c r="T20" s="1507"/>
      <c r="U20" s="1508"/>
      <c r="V20" s="1507"/>
      <c r="W20" s="1508"/>
      <c r="X20" s="1501"/>
      <c r="Y20" s="3486"/>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86"/>
      <c r="Q21" s="2429" t="str">
        <f>B21</f>
        <v>基础设施水平</v>
      </c>
      <c r="R21" s="1507" t="s">
        <v>8</v>
      </c>
      <c r="S21" s="1508">
        <f>F21</f>
        <v>100</v>
      </c>
      <c r="T21" s="1507" t="s">
        <v>8</v>
      </c>
      <c r="U21" s="1508">
        <f>H21</f>
        <v>100</v>
      </c>
      <c r="V21" s="1507" t="s">
        <v>8</v>
      </c>
      <c r="W21" s="1508">
        <f>J21</f>
        <v>100</v>
      </c>
      <c r="X21" s="2431"/>
      <c r="Y21" s="348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86"/>
      <c r="Q22" s="2429"/>
      <c r="R22" s="1507"/>
      <c r="S22" s="1508"/>
      <c r="T22" s="1507"/>
      <c r="U22" s="1508"/>
      <c r="V22" s="1507"/>
      <c r="W22" s="1508"/>
      <c r="X22" s="2431"/>
      <c r="Y22" s="3486"/>
      <c r="Z22" s="2430"/>
      <c r="AA22" s="1510">
        <v>1</v>
      </c>
      <c r="AB22" s="1510">
        <v>1</v>
      </c>
      <c r="AC22" s="1510">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86"/>
      <c r="Q23" s="1506" t="str">
        <f>B23</f>
        <v>环境质量</v>
      </c>
      <c r="R23" s="1507" t="s">
        <v>8</v>
      </c>
      <c r="S23" s="1508">
        <f>F23</f>
        <v>100</v>
      </c>
      <c r="T23" s="1507" t="s">
        <v>8</v>
      </c>
      <c r="U23" s="1508">
        <f>H23</f>
        <v>100</v>
      </c>
      <c r="V23" s="1507" t="s">
        <v>8</v>
      </c>
      <c r="W23" s="1508">
        <f>J23</f>
        <v>100</v>
      </c>
      <c r="X23" s="1501"/>
      <c r="Y23" s="3486"/>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86"/>
      <c r="Q24" s="1506"/>
      <c r="R24" s="1507"/>
      <c r="S24" s="1508"/>
      <c r="T24" s="1507"/>
      <c r="U24" s="1508"/>
      <c r="V24" s="1507"/>
      <c r="W24" s="1508"/>
      <c r="X24" s="1501"/>
      <c r="Y24" s="348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86"/>
      <c r="Q25" s="1506">
        <f>B25</f>
        <v>111</v>
      </c>
      <c r="R25" s="1507" t="s">
        <v>8</v>
      </c>
      <c r="S25" s="1508">
        <f>F25</f>
        <v>100</v>
      </c>
      <c r="T25" s="1507" t="s">
        <v>8</v>
      </c>
      <c r="U25" s="1508">
        <f>H25</f>
        <v>100</v>
      </c>
      <c r="V25" s="1507" t="s">
        <v>8</v>
      </c>
      <c r="W25" s="1508">
        <f>J25</f>
        <v>100</v>
      </c>
      <c r="X25" s="1501"/>
      <c r="Y25" s="348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86"/>
      <c r="Q26" s="1506">
        <f t="shared" ref="Q26:Q40" si="11">B26</f>
        <v>111</v>
      </c>
      <c r="R26" s="1507" t="s">
        <v>8</v>
      </c>
      <c r="S26" s="1508">
        <f>F26</f>
        <v>100</v>
      </c>
      <c r="T26" s="1507" t="s">
        <v>8</v>
      </c>
      <c r="U26" s="1508">
        <f>H26</f>
        <v>100</v>
      </c>
      <c r="V26" s="1507" t="s">
        <v>8</v>
      </c>
      <c r="W26" s="1508">
        <f>J26</f>
        <v>100</v>
      </c>
      <c r="X26" s="1501"/>
      <c r="Y26" s="3486"/>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86"/>
      <c r="Q27" s="1134">
        <f t="shared" si="11"/>
        <v>111</v>
      </c>
      <c r="R27" s="1502" t="s">
        <v>8</v>
      </c>
      <c r="S27" s="1503">
        <f>F27</f>
        <v>100</v>
      </c>
      <c r="T27" s="1502" t="s">
        <v>8</v>
      </c>
      <c r="U27" s="1503">
        <f>H27</f>
        <v>100</v>
      </c>
      <c r="V27" s="1502" t="s">
        <v>8</v>
      </c>
      <c r="W27" s="1503">
        <f>J27</f>
        <v>100</v>
      </c>
      <c r="X27" s="1504"/>
      <c r="Y27" s="3486"/>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86"/>
      <c r="Q28" s="1506">
        <f t="shared" si="11"/>
        <v>111</v>
      </c>
      <c r="R28" s="1507" t="s">
        <v>8</v>
      </c>
      <c r="S28" s="1508">
        <f t="shared" ref="S28:S40" si="12">F28</f>
        <v>100</v>
      </c>
      <c r="T28" s="1507" t="s">
        <v>8</v>
      </c>
      <c r="U28" s="1508">
        <f t="shared" ref="U28:U40" si="13">H28</f>
        <v>100</v>
      </c>
      <c r="V28" s="1507" t="s">
        <v>8</v>
      </c>
      <c r="W28" s="1508">
        <f t="shared" ref="W28:W40" si="14">J28</f>
        <v>100</v>
      </c>
      <c r="X28" s="1501"/>
      <c r="Y28" s="3486"/>
      <c r="Z28" s="1509">
        <f t="shared" ref="Z28:Z40" si="15">Q28</f>
        <v>111</v>
      </c>
      <c r="AA28" s="1510">
        <f t="shared" si="3"/>
        <v>1</v>
      </c>
      <c r="AB28" s="1510">
        <f t="shared" si="4"/>
        <v>1</v>
      </c>
      <c r="AC28" s="1510">
        <f t="shared" si="5"/>
        <v>1</v>
      </c>
    </row>
    <row r="29" spans="1:29" ht="15">
      <c r="A29" s="2624" t="s">
        <v>2734</v>
      </c>
      <c r="B29" s="170" t="s">
        <v>773</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87" t="s">
        <v>543</v>
      </c>
      <c r="Q29" s="1506" t="str">
        <f t="shared" si="11"/>
        <v>建筑类型</v>
      </c>
      <c r="R29" s="1507" t="s">
        <v>8</v>
      </c>
      <c r="S29" s="1508">
        <f t="shared" si="12"/>
        <v>100</v>
      </c>
      <c r="T29" s="1507" t="s">
        <v>8</v>
      </c>
      <c r="U29" s="1508">
        <f t="shared" si="13"/>
        <v>100</v>
      </c>
      <c r="V29" s="1507" t="s">
        <v>8</v>
      </c>
      <c r="W29" s="1508">
        <f t="shared" si="14"/>
        <v>100</v>
      </c>
      <c r="X29" s="1501"/>
      <c r="Y29" s="3488" t="s">
        <v>543</v>
      </c>
      <c r="Z29" s="1509" t="str">
        <f t="shared" si="15"/>
        <v>建筑类型</v>
      </c>
      <c r="AA29" s="1510">
        <f t="shared" si="3"/>
        <v>1</v>
      </c>
      <c r="AB29" s="1510">
        <f t="shared" si="4"/>
        <v>1</v>
      </c>
      <c r="AC29" s="1510">
        <f t="shared" si="5"/>
        <v>1</v>
      </c>
    </row>
    <row r="30" spans="1:29" s="1293" customFormat="1" ht="15">
      <c r="A30" s="597"/>
      <c r="B30" s="521" t="s">
        <v>719</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88"/>
      <c r="Q30" s="1535" t="str">
        <f t="shared" si="11"/>
        <v>项目建筑规模</v>
      </c>
      <c r="R30" s="1511" t="s">
        <v>8</v>
      </c>
      <c r="S30" s="1512" t="e">
        <f t="shared" si="12"/>
        <v>#N/A</v>
      </c>
      <c r="T30" s="1511" t="s">
        <v>8</v>
      </c>
      <c r="U30" s="1512" t="e">
        <f t="shared" si="13"/>
        <v>#N/A</v>
      </c>
      <c r="V30" s="1511" t="s">
        <v>8</v>
      </c>
      <c r="W30" s="1512" t="e">
        <f t="shared" si="14"/>
        <v>#N/A</v>
      </c>
      <c r="X30" s="1513"/>
      <c r="Y30" s="3488"/>
      <c r="Z30" s="1514" t="str">
        <f t="shared" si="15"/>
        <v>项目建筑规模</v>
      </c>
      <c r="AA30" s="1510" t="e">
        <f t="shared" si="3"/>
        <v>#N/A</v>
      </c>
      <c r="AB30" s="1510" t="e">
        <f t="shared" si="4"/>
        <v>#N/A</v>
      </c>
      <c r="AC30" s="1510"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88"/>
      <c r="Q31" s="1506" t="str">
        <f t="shared" si="11"/>
        <v>建筑结构</v>
      </c>
      <c r="R31" s="1507" t="s">
        <v>8</v>
      </c>
      <c r="S31" s="1508">
        <f t="shared" si="12"/>
        <v>100</v>
      </c>
      <c r="T31" s="1507" t="s">
        <v>8</v>
      </c>
      <c r="U31" s="1508">
        <f t="shared" si="13"/>
        <v>100</v>
      </c>
      <c r="V31" s="1507" t="s">
        <v>8</v>
      </c>
      <c r="W31" s="1508">
        <f t="shared" si="14"/>
        <v>100</v>
      </c>
      <c r="X31" s="1501"/>
      <c r="Y31" s="3488"/>
      <c r="Z31" s="1509" t="str">
        <f t="shared" si="15"/>
        <v>建筑结构</v>
      </c>
      <c r="AA31" s="1510">
        <f t="shared" si="3"/>
        <v>1</v>
      </c>
      <c r="AB31" s="1510">
        <f t="shared" si="4"/>
        <v>1</v>
      </c>
      <c r="AC31" s="1510">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88"/>
      <c r="Q32" s="1506" t="str">
        <f t="shared" si="11"/>
        <v>公共部分装修</v>
      </c>
      <c r="R32" s="1507" t="s">
        <v>8</v>
      </c>
      <c r="S32" s="1508">
        <f t="shared" si="12"/>
        <v>100</v>
      </c>
      <c r="T32" s="1507" t="s">
        <v>8</v>
      </c>
      <c r="U32" s="1508">
        <f t="shared" si="13"/>
        <v>100</v>
      </c>
      <c r="V32" s="1507" t="s">
        <v>8</v>
      </c>
      <c r="W32" s="1508">
        <f t="shared" si="14"/>
        <v>100</v>
      </c>
      <c r="X32" s="1501"/>
      <c r="Y32" s="3488"/>
      <c r="Z32" s="1509" t="str">
        <f t="shared" si="15"/>
        <v>公共部分装修</v>
      </c>
      <c r="AA32" s="1510">
        <f t="shared" si="3"/>
        <v>1</v>
      </c>
      <c r="AB32" s="1510">
        <f t="shared" si="4"/>
        <v>1</v>
      </c>
      <c r="AC32" s="1510">
        <f t="shared" si="5"/>
        <v>1</v>
      </c>
    </row>
    <row r="33" spans="1:29" ht="15">
      <c r="A33" s="588"/>
      <c r="B33" s="521" t="s">
        <v>757</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88"/>
      <c r="Q33" s="1506" t="str">
        <f t="shared" si="11"/>
        <v>成新度</v>
      </c>
      <c r="R33" s="1507" t="s">
        <v>8</v>
      </c>
      <c r="S33" s="1508" t="e">
        <f t="shared" si="12"/>
        <v>#N/A</v>
      </c>
      <c r="T33" s="1507" t="s">
        <v>8</v>
      </c>
      <c r="U33" s="1508" t="e">
        <f t="shared" si="13"/>
        <v>#N/A</v>
      </c>
      <c r="V33" s="1507" t="s">
        <v>8</v>
      </c>
      <c r="W33" s="1508" t="e">
        <f t="shared" si="14"/>
        <v>#N/A</v>
      </c>
      <c r="X33" s="1501"/>
      <c r="Y33" s="3488"/>
      <c r="Z33" s="1509" t="str">
        <f t="shared" si="15"/>
        <v>成新度</v>
      </c>
      <c r="AA33" s="1510" t="e">
        <f t="shared" si="3"/>
        <v>#N/A</v>
      </c>
      <c r="AB33" s="1510" t="e">
        <f t="shared" si="4"/>
        <v>#N/A</v>
      </c>
      <c r="AC33" s="1510" t="e">
        <f t="shared" si="5"/>
        <v>#N/A</v>
      </c>
    </row>
    <row r="34" spans="1:29" s="1203"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88"/>
      <c r="Q34" s="1134" t="str">
        <f t="shared" si="11"/>
        <v>物业管理</v>
      </c>
      <c r="R34" s="1502" t="s">
        <v>8</v>
      </c>
      <c r="S34" s="1503">
        <f t="shared" si="12"/>
        <v>100</v>
      </c>
      <c r="T34" s="1502" t="s">
        <v>8</v>
      </c>
      <c r="U34" s="1503">
        <f t="shared" si="13"/>
        <v>100</v>
      </c>
      <c r="V34" s="1502" t="s">
        <v>8</v>
      </c>
      <c r="W34" s="1503">
        <f t="shared" si="14"/>
        <v>100</v>
      </c>
      <c r="X34" s="1504"/>
      <c r="Y34" s="3488"/>
      <c r="Z34" s="1133"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88" t="s">
        <v>543</v>
      </c>
      <c r="Q35" s="1506" t="str">
        <f t="shared" si="11"/>
        <v>市政基础设施</v>
      </c>
      <c r="R35" s="1507" t="s">
        <v>8</v>
      </c>
      <c r="S35" s="1508">
        <f t="shared" si="12"/>
        <v>100</v>
      </c>
      <c r="T35" s="1507" t="s">
        <v>8</v>
      </c>
      <c r="U35" s="1508">
        <f t="shared" si="13"/>
        <v>100</v>
      </c>
      <c r="V35" s="1507" t="s">
        <v>8</v>
      </c>
      <c r="W35" s="1508">
        <f t="shared" si="14"/>
        <v>100</v>
      </c>
      <c r="X35" s="1501"/>
      <c r="Y35" s="3488" t="s">
        <v>543</v>
      </c>
      <c r="Z35" s="1509" t="str">
        <f t="shared" si="15"/>
        <v>市政基础设施</v>
      </c>
      <c r="AA35" s="1510">
        <f t="shared" si="3"/>
        <v>1</v>
      </c>
      <c r="AB35" s="1510">
        <f t="shared" si="4"/>
        <v>1</v>
      </c>
      <c r="AC35" s="1510">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88"/>
      <c r="Q36" s="1506" t="str">
        <f t="shared" si="11"/>
        <v>内部装修</v>
      </c>
      <c r="R36" s="1507" t="s">
        <v>8</v>
      </c>
      <c r="S36" s="1508">
        <f t="shared" si="12"/>
        <v>100</v>
      </c>
      <c r="T36" s="1507" t="s">
        <v>8</v>
      </c>
      <c r="U36" s="1508">
        <f t="shared" si="13"/>
        <v>100</v>
      </c>
      <c r="V36" s="1507" t="s">
        <v>8</v>
      </c>
      <c r="W36" s="1508">
        <f t="shared" si="14"/>
        <v>100</v>
      </c>
      <c r="X36" s="1501"/>
      <c r="Y36" s="3488"/>
      <c r="Z36" s="1509" t="str">
        <f t="shared" si="15"/>
        <v>内部装修</v>
      </c>
      <c r="AA36" s="1510">
        <f t="shared" si="3"/>
        <v>1</v>
      </c>
      <c r="AB36" s="1510">
        <f t="shared" si="4"/>
        <v>1</v>
      </c>
      <c r="AC36" s="1510">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88"/>
      <c r="Q37" s="1506" t="str">
        <f t="shared" si="11"/>
        <v>内部装修状况</v>
      </c>
      <c r="R37" s="1507" t="s">
        <v>8</v>
      </c>
      <c r="S37" s="1508">
        <f t="shared" si="12"/>
        <v>100</v>
      </c>
      <c r="T37" s="1507" t="s">
        <v>8</v>
      </c>
      <c r="U37" s="1508">
        <f t="shared" si="13"/>
        <v>100</v>
      </c>
      <c r="V37" s="1507" t="s">
        <v>8</v>
      </c>
      <c r="W37" s="1508">
        <f t="shared" si="14"/>
        <v>100</v>
      </c>
      <c r="X37" s="1501"/>
      <c r="Y37" s="3488"/>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88"/>
      <c r="Q38" s="1535">
        <f t="shared" si="11"/>
        <v>111</v>
      </c>
      <c r="R38" s="1511" t="s">
        <v>8</v>
      </c>
      <c r="S38" s="1512">
        <f t="shared" si="12"/>
        <v>100</v>
      </c>
      <c r="T38" s="1511" t="s">
        <v>8</v>
      </c>
      <c r="U38" s="1512">
        <f t="shared" si="13"/>
        <v>100</v>
      </c>
      <c r="V38" s="1511" t="s">
        <v>8</v>
      </c>
      <c r="W38" s="1512">
        <f t="shared" si="14"/>
        <v>100</v>
      </c>
      <c r="X38" s="1513"/>
      <c r="Y38" s="3488"/>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88"/>
      <c r="Q39" s="1506">
        <f t="shared" si="11"/>
        <v>111</v>
      </c>
      <c r="R39" s="1507" t="s">
        <v>8</v>
      </c>
      <c r="S39" s="1508">
        <f t="shared" si="12"/>
        <v>100</v>
      </c>
      <c r="T39" s="1507" t="s">
        <v>8</v>
      </c>
      <c r="U39" s="1508">
        <f t="shared" si="13"/>
        <v>100</v>
      </c>
      <c r="V39" s="1507" t="s">
        <v>8</v>
      </c>
      <c r="W39" s="1508">
        <f t="shared" si="14"/>
        <v>100</v>
      </c>
      <c r="X39" s="1501"/>
      <c r="Y39" s="3488"/>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9"/>
      <c r="Q40" s="1506">
        <f t="shared" si="11"/>
        <v>111</v>
      </c>
      <c r="R40" s="1507" t="s">
        <v>8</v>
      </c>
      <c r="S40" s="1508">
        <f t="shared" si="12"/>
        <v>100</v>
      </c>
      <c r="T40" s="1507" t="s">
        <v>8</v>
      </c>
      <c r="U40" s="1508">
        <f t="shared" si="13"/>
        <v>100</v>
      </c>
      <c r="V40" s="1507" t="s">
        <v>8</v>
      </c>
      <c r="W40" s="1508">
        <f t="shared" si="14"/>
        <v>100</v>
      </c>
      <c r="X40" s="1501"/>
      <c r="Y40" s="3589"/>
      <c r="Z40" s="1509">
        <f t="shared" si="15"/>
        <v>111</v>
      </c>
      <c r="AA40" s="1510">
        <f t="shared" si="3"/>
        <v>1</v>
      </c>
      <c r="AB40" s="1510">
        <f t="shared" si="4"/>
        <v>1</v>
      </c>
      <c r="AC40" s="1510">
        <f t="shared" si="5"/>
        <v>1</v>
      </c>
    </row>
    <row r="41" spans="1:29" ht="15">
      <c r="A41" s="601" t="s">
        <v>729</v>
      </c>
      <c r="B41" s="876"/>
      <c r="C41" s="2470" t="s">
        <v>1</v>
      </c>
      <c r="D41" s="2471"/>
      <c r="E41" s="2472"/>
      <c r="F41" s="2473"/>
      <c r="G41" s="2474"/>
      <c r="H41" s="2475"/>
      <c r="I41" s="2472"/>
      <c r="J41" s="2475"/>
      <c r="K41" s="1540"/>
      <c r="L41" s="2026"/>
      <c r="M41" s="2027"/>
      <c r="N41" s="2016"/>
      <c r="O41" s="2027"/>
      <c r="P41" s="3483" t="str">
        <f>A41</f>
        <v>成交单价（元/平方米）</v>
      </c>
      <c r="Q41" s="3483"/>
      <c r="R41" s="3588">
        <f>E41</f>
        <v>0</v>
      </c>
      <c r="S41" s="3588"/>
      <c r="T41" s="3588">
        <f>G41</f>
        <v>0</v>
      </c>
      <c r="U41" s="3588"/>
      <c r="V41" s="3588">
        <f>I41</f>
        <v>0</v>
      </c>
      <c r="W41" s="3588"/>
      <c r="X41" s="1496"/>
      <c r="Y41" s="1515"/>
      <c r="Z41" s="1496"/>
      <c r="AA41" s="1496"/>
      <c r="AB41" s="1496"/>
      <c r="AC41" s="1496"/>
    </row>
    <row r="42" spans="1:29" ht="15.75" thickBot="1">
      <c r="A42" s="609" t="s">
        <v>2739</v>
      </c>
      <c r="B42" s="877"/>
      <c r="C42" s="2476" t="e">
        <f>R43</f>
        <v>#DIV/0!</v>
      </c>
      <c r="D42" s="3013" t="s">
        <v>2965</v>
      </c>
      <c r="E42" s="2477" t="e">
        <f>R42</f>
        <v>#DIV/0!</v>
      </c>
      <c r="F42" s="3014"/>
      <c r="G42" s="2476" t="e">
        <f>T42</f>
        <v>#DIV/0!</v>
      </c>
      <c r="H42" s="3014"/>
      <c r="I42" s="2477" t="e">
        <f>V42</f>
        <v>#DIV/0!</v>
      </c>
      <c r="J42" s="3014"/>
      <c r="K42" s="3022">
        <f>F42+H42+J42</f>
        <v>0</v>
      </c>
      <c r="L42" s="2026"/>
      <c r="M42" s="2027"/>
      <c r="N42" s="2016"/>
      <c r="O42" s="2027"/>
      <c r="P42" s="3483" t="str">
        <f>A42</f>
        <v>比较价格（元/平方米）</v>
      </c>
      <c r="Q42" s="3483"/>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04" t="str">
        <f>A43</f>
        <v>估价对象XX用房的比较价格（楼面单价，元/平方米）</v>
      </c>
      <c r="Q43" s="3505"/>
      <c r="R43" s="3587" t="e">
        <f>IF(F1="售价",ROUND(IF(D42="简单平均",AVERAGE(R42:V42),R42*F42+T42*H42+V42*J42),0),ROUND(IF(D42="简单平均",AVERAGE(R42:V42),R42*F42+T42*H42+V42*J42),1))</f>
        <v>#DIV/0!</v>
      </c>
      <c r="S43" s="3587"/>
      <c r="T43" s="3587"/>
      <c r="U43" s="3587"/>
      <c r="V43" s="3587"/>
      <c r="W43" s="3587"/>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3"/>
      <c r="B48" s="3213"/>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567</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522</v>
      </c>
      <c r="B52" s="638"/>
      <c r="C52" s="2519" t="str">
        <f>YEAR(C7)&amp;"-"&amp;MONTH(C7)</f>
        <v>2021-9</v>
      </c>
      <c r="D52" s="2521">
        <f>EDATE(C52,-1)</f>
        <v>44409</v>
      </c>
      <c r="E52" s="2521">
        <f t="shared" ref="E52:O52" si="16">EDATE(D52,-1)</f>
        <v>44378</v>
      </c>
      <c r="F52" s="2521">
        <f t="shared" si="16"/>
        <v>44348</v>
      </c>
      <c r="G52" s="2521">
        <f t="shared" si="16"/>
        <v>44317</v>
      </c>
      <c r="H52" s="2521">
        <f t="shared" si="16"/>
        <v>44287</v>
      </c>
      <c r="I52" s="2521">
        <f t="shared" si="16"/>
        <v>44256</v>
      </c>
      <c r="J52" s="2521">
        <f t="shared" si="16"/>
        <v>44228</v>
      </c>
      <c r="K52" s="2521">
        <f t="shared" si="16"/>
        <v>44197</v>
      </c>
      <c r="L52" s="2521">
        <f t="shared" si="16"/>
        <v>44166</v>
      </c>
      <c r="M52" s="2521">
        <f t="shared" si="16"/>
        <v>44136</v>
      </c>
      <c r="N52" s="2521">
        <f t="shared" si="16"/>
        <v>44105</v>
      </c>
      <c r="O52" s="2521">
        <f t="shared" si="16"/>
        <v>44075</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568</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524</v>
      </c>
      <c r="B55" s="640"/>
      <c r="C55" s="652" t="s">
        <v>569</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570</v>
      </c>
      <c r="B57" s="657" t="s">
        <v>527</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532</v>
      </c>
      <c r="B70" s="657" t="s">
        <v>578</v>
      </c>
      <c r="C70" s="695" t="s">
        <v>572</v>
      </c>
      <c r="D70" s="695" t="s">
        <v>573</v>
      </c>
      <c r="E70" s="695" t="s">
        <v>574</v>
      </c>
      <c r="F70" s="695" t="s">
        <v>575</v>
      </c>
      <c r="G70" s="695" t="s">
        <v>576</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579</v>
      </c>
      <c r="C72" s="700" t="s">
        <v>572</v>
      </c>
      <c r="D72" s="700" t="s">
        <v>573</v>
      </c>
      <c r="E72" s="700" t="s">
        <v>574</v>
      </c>
      <c r="F72" s="700" t="s">
        <v>575</v>
      </c>
      <c r="G72" s="700" t="s">
        <v>576</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572</v>
      </c>
      <c r="D74" s="700" t="s">
        <v>573</v>
      </c>
      <c r="E74" s="700" t="s">
        <v>574</v>
      </c>
      <c r="F74" s="700" t="s">
        <v>575</v>
      </c>
      <c r="G74" s="700" t="s">
        <v>576</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777</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544</v>
      </c>
      <c r="B88" s="657" t="s">
        <v>740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744</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746</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748</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784</v>
      </c>
      <c r="C106" s="700" t="s">
        <v>572</v>
      </c>
      <c r="D106" s="700" t="s">
        <v>573</v>
      </c>
      <c r="E106" s="700" t="s">
        <v>574</v>
      </c>
      <c r="F106" s="700" t="s">
        <v>575</v>
      </c>
      <c r="G106" s="700" t="s">
        <v>576</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受贵公司委托，我公司对北京市北京经济技术开发区核心区67#街区67F1地块出让国有建设用地使用权抵押价格进行了预评估。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经济技术开发区核心区67#街区67F1地块出让国有建设用地使用权。根据《国有土地使用证》[]，估价对象（分摊）出让国有建设用地使用权面积为17997.97平方米。根据《建设工程规划许可证》[]、《出让合同》[]，估价对象规划建筑面积为68200平方米。</v>
      </c>
    </row>
    <row r="7" spans="1:4" ht="93.75">
      <c r="A7" s="2590" t="s">
        <v>2727</v>
      </c>
    </row>
    <row r="8" spans="1:4" ht="18.75">
      <c r="A8" s="1709" t="s">
        <v>1896</v>
      </c>
    </row>
    <row r="9" spans="1:4" ht="75">
      <c r="A9" s="1711" t="str">
        <f>IF(项目基本情况!B8="抵押",IF(项目基本情况!B5=项目基本情况!B6,定义!C51,定义!B51),定义!D51)</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2021年9月9日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根据《国有土地使用证》[]，估价对象（分摊）出让国有建设用地使用权面积为17997.97平方米。根据《建设工程规划许可证》[]、《出让合同》[]，估价对象规划建筑面积为68200平方米。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1" t="s">
        <v>786</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787</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788</v>
      </c>
      <c r="B3" s="504" t="e">
        <f>IF(B37="元/平方米",C39,ROUND(B2*10000/D3,0))</f>
        <v>#DIV/0!</v>
      </c>
      <c r="C3" s="841" t="s">
        <v>789</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790</v>
      </c>
      <c r="B4" s="507"/>
      <c r="C4" s="3489" t="s">
        <v>791</v>
      </c>
      <c r="D4" s="3490"/>
      <c r="E4" s="3489" t="s">
        <v>792</v>
      </c>
      <c r="F4" s="3490"/>
      <c r="G4" s="3489" t="s">
        <v>793</v>
      </c>
      <c r="H4" s="3490"/>
      <c r="I4" s="3489" t="s">
        <v>794</v>
      </c>
      <c r="J4" s="3490"/>
      <c r="K4" s="508" t="s">
        <v>795</v>
      </c>
      <c r="L4" s="2015"/>
      <c r="M4" s="2016"/>
      <c r="N4" s="2016"/>
      <c r="O4" s="2016"/>
      <c r="P4" s="3491" t="s">
        <v>796</v>
      </c>
      <c r="Q4" s="3492"/>
      <c r="R4" s="3477" t="s">
        <v>792</v>
      </c>
      <c r="S4" s="3478"/>
      <c r="T4" s="3477" t="s">
        <v>793</v>
      </c>
      <c r="U4" s="3478"/>
      <c r="V4" s="3497" t="s">
        <v>794</v>
      </c>
      <c r="W4" s="3497"/>
      <c r="X4" s="1501"/>
      <c r="Y4" s="3477" t="s">
        <v>796</v>
      </c>
      <c r="Z4" s="3478"/>
      <c r="AA4" s="3472" t="s">
        <v>792</v>
      </c>
      <c r="AB4" s="3473" t="s">
        <v>793</v>
      </c>
      <c r="AC4" s="3472" t="s">
        <v>794</v>
      </c>
    </row>
    <row r="5" spans="1:29" ht="15">
      <c r="A5" s="509"/>
      <c r="B5" s="510"/>
      <c r="C5" s="3500" t="s">
        <v>2891</v>
      </c>
      <c r="D5" s="3501"/>
      <c r="E5" s="3500" t="s">
        <v>2892</v>
      </c>
      <c r="F5" s="3501"/>
      <c r="G5" s="3500" t="s">
        <v>2893</v>
      </c>
      <c r="H5" s="3501"/>
      <c r="I5" s="3500" t="s">
        <v>2894</v>
      </c>
      <c r="J5" s="3501"/>
      <c r="K5" s="508"/>
      <c r="L5" s="2015"/>
      <c r="M5" s="2016"/>
      <c r="N5" s="2016"/>
      <c r="O5" s="2016"/>
      <c r="P5" s="3493"/>
      <c r="Q5" s="3494"/>
      <c r="R5" s="3479"/>
      <c r="S5" s="3480"/>
      <c r="T5" s="3479"/>
      <c r="U5" s="3480"/>
      <c r="V5" s="3497"/>
      <c r="W5" s="3497"/>
      <c r="X5" s="1501"/>
      <c r="Y5" s="3479"/>
      <c r="Z5" s="3480"/>
      <c r="AA5" s="3473"/>
      <c r="AB5" s="3473"/>
      <c r="AC5" s="3473"/>
    </row>
    <row r="6" spans="1:29" ht="15.75" thickBot="1">
      <c r="A6" s="511"/>
      <c r="B6" s="512"/>
      <c r="C6" s="3498" t="s">
        <v>2895</v>
      </c>
      <c r="D6" s="3499"/>
      <c r="E6" s="3502" t="s">
        <v>2895</v>
      </c>
      <c r="F6" s="3503"/>
      <c r="G6" s="3498" t="s">
        <v>2895</v>
      </c>
      <c r="H6" s="3499"/>
      <c r="I6" s="3498" t="s">
        <v>2895</v>
      </c>
      <c r="J6" s="3499"/>
      <c r="K6" s="508" t="s">
        <v>521</v>
      </c>
      <c r="L6" s="2015"/>
      <c r="M6" s="2016"/>
      <c r="N6" s="2016"/>
      <c r="O6" s="2016"/>
      <c r="P6" s="3495"/>
      <c r="Q6" s="3496"/>
      <c r="R6" s="3479"/>
      <c r="S6" s="3480"/>
      <c r="T6" s="3481"/>
      <c r="U6" s="3482"/>
      <c r="V6" s="3497"/>
      <c r="W6" s="3497"/>
      <c r="X6" s="1501"/>
      <c r="Y6" s="3481"/>
      <c r="Z6" s="3482"/>
      <c r="AA6" s="3474"/>
      <c r="AB6" s="3474"/>
      <c r="AC6" s="3474"/>
    </row>
    <row r="7" spans="1:29" s="1203" customFormat="1" ht="15.75" thickBot="1">
      <c r="A7" s="2629"/>
      <c r="B7" s="2636" t="s">
        <v>522</v>
      </c>
      <c r="C7" s="513">
        <f>'数据-取费表'!B2</f>
        <v>44448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75" t="s">
        <v>523</v>
      </c>
      <c r="Q7" s="3484"/>
      <c r="R7" s="1502" t="s">
        <v>8</v>
      </c>
      <c r="S7" s="1503">
        <f t="shared" ref="S7:S14" si="0">F7</f>
        <v>0</v>
      </c>
      <c r="T7" s="1502" t="s">
        <v>8</v>
      </c>
      <c r="U7" s="1503">
        <f t="shared" ref="U7:U14" si="1">H7</f>
        <v>0</v>
      </c>
      <c r="V7" s="1502" t="s">
        <v>8</v>
      </c>
      <c r="W7" s="1503">
        <f t="shared" ref="W7:W14" si="2">J7</f>
        <v>0</v>
      </c>
      <c r="X7" s="1504"/>
      <c r="Y7" s="3475" t="s">
        <v>523</v>
      </c>
      <c r="Z7" s="3476"/>
      <c r="AA7" s="1505" t="e">
        <f>D7/F7</f>
        <v>#DIV/0!</v>
      </c>
      <c r="AB7" s="1505" t="e">
        <f>D7/H7</f>
        <v>#DIV/0!</v>
      </c>
      <c r="AC7" s="1505" t="e">
        <f>D7/J7</f>
        <v>#DIV/0!</v>
      </c>
    </row>
    <row r="8" spans="1:29" s="1203" customFormat="1" ht="15.75" thickBot="1">
      <c r="A8" s="2630"/>
      <c r="B8" s="2637" t="s">
        <v>524</v>
      </c>
      <c r="C8" s="519" t="s">
        <v>569</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75" t="s">
        <v>526</v>
      </c>
      <c r="Q8" s="3476"/>
      <c r="R8" s="1502" t="s">
        <v>8</v>
      </c>
      <c r="S8" s="1503">
        <f t="shared" si="0"/>
        <v>0</v>
      </c>
      <c r="T8" s="1502" t="s">
        <v>8</v>
      </c>
      <c r="U8" s="1503">
        <f t="shared" si="1"/>
        <v>0</v>
      </c>
      <c r="V8" s="1502" t="s">
        <v>8</v>
      </c>
      <c r="W8" s="1503">
        <f t="shared" si="2"/>
        <v>0</v>
      </c>
      <c r="X8" s="1504"/>
      <c r="Y8" s="3475" t="s">
        <v>526</v>
      </c>
      <c r="Z8" s="3476"/>
      <c r="AA8" s="1505" t="e">
        <f t="shared" ref="AA8:AA36" si="3">D8/F8</f>
        <v>#DIV/0!</v>
      </c>
      <c r="AB8" s="1505" t="e">
        <f t="shared" ref="AB8:AB36" si="4">D8/H8</f>
        <v>#DIV/0!</v>
      </c>
      <c r="AC8" s="1505" t="e">
        <f t="shared" ref="AC8:AC36" si="5">D8/J8</f>
        <v>#DIV/0!</v>
      </c>
    </row>
    <row r="9" spans="1:29" s="1203"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3" t="s">
        <v>528</v>
      </c>
      <c r="Q9" s="1134" t="str">
        <f t="shared" ref="Q9:Q14" si="6">B9</f>
        <v>用途</v>
      </c>
      <c r="R9" s="1502" t="s">
        <v>8</v>
      </c>
      <c r="S9" s="1503">
        <f t="shared" si="0"/>
        <v>100</v>
      </c>
      <c r="T9" s="1502" t="s">
        <v>8</v>
      </c>
      <c r="U9" s="1503">
        <f t="shared" si="1"/>
        <v>100</v>
      </c>
      <c r="V9" s="1502" t="s">
        <v>8</v>
      </c>
      <c r="W9" s="1503">
        <f t="shared" si="2"/>
        <v>100</v>
      </c>
      <c r="X9" s="1504"/>
      <c r="Y9" s="3434" t="s">
        <v>529</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3"/>
      <c r="Q10" s="1134" t="str">
        <f t="shared" si="6"/>
        <v>土地使用年限（年）</v>
      </c>
      <c r="R10" s="1502" t="s">
        <v>8</v>
      </c>
      <c r="S10" s="1503">
        <f t="shared" si="0"/>
        <v>100</v>
      </c>
      <c r="T10" s="1502" t="s">
        <v>8</v>
      </c>
      <c r="U10" s="1503">
        <f t="shared" si="1"/>
        <v>100</v>
      </c>
      <c r="V10" s="1502" t="s">
        <v>8</v>
      </c>
      <c r="W10" s="1503">
        <f t="shared" si="2"/>
        <v>100</v>
      </c>
      <c r="X10" s="1504"/>
      <c r="Y10" s="3434"/>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3"/>
      <c r="Q11" s="1134">
        <f t="shared" si="6"/>
        <v>111</v>
      </c>
      <c r="R11" s="1502" t="s">
        <v>8</v>
      </c>
      <c r="S11" s="1503">
        <f t="shared" si="0"/>
        <v>100</v>
      </c>
      <c r="T11" s="1502" t="s">
        <v>8</v>
      </c>
      <c r="U11" s="1503">
        <f t="shared" si="1"/>
        <v>100</v>
      </c>
      <c r="V11" s="1502" t="s">
        <v>8</v>
      </c>
      <c r="W11" s="1503">
        <f t="shared" si="2"/>
        <v>100</v>
      </c>
      <c r="X11" s="1504"/>
      <c r="Y11" s="3434"/>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3"/>
      <c r="Q12" s="1134">
        <f t="shared" si="6"/>
        <v>111</v>
      </c>
      <c r="R12" s="1502" t="s">
        <v>8</v>
      </c>
      <c r="S12" s="1503">
        <f t="shared" si="0"/>
        <v>100</v>
      </c>
      <c r="T12" s="1502" t="s">
        <v>8</v>
      </c>
      <c r="U12" s="1503">
        <f t="shared" si="1"/>
        <v>100</v>
      </c>
      <c r="V12" s="1502" t="s">
        <v>8</v>
      </c>
      <c r="W12" s="1503">
        <f t="shared" si="2"/>
        <v>100</v>
      </c>
      <c r="X12" s="1504"/>
      <c r="Y12" s="3434"/>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3"/>
      <c r="Q13" s="1134">
        <f t="shared" si="6"/>
        <v>111</v>
      </c>
      <c r="R13" s="1502" t="s">
        <v>8</v>
      </c>
      <c r="S13" s="1503">
        <f t="shared" si="0"/>
        <v>100</v>
      </c>
      <c r="T13" s="1502" t="s">
        <v>8</v>
      </c>
      <c r="U13" s="1503">
        <f t="shared" si="1"/>
        <v>100</v>
      </c>
      <c r="V13" s="1502" t="s">
        <v>8</v>
      </c>
      <c r="W13" s="1503">
        <f t="shared" si="2"/>
        <v>100</v>
      </c>
      <c r="X13" s="1504"/>
      <c r="Y13" s="3434"/>
      <c r="Z13" s="1133">
        <f t="shared" si="7"/>
        <v>111</v>
      </c>
      <c r="AA13" s="1505">
        <f t="shared" si="3"/>
        <v>1</v>
      </c>
      <c r="AB13" s="1505">
        <f t="shared" si="4"/>
        <v>1</v>
      </c>
      <c r="AC13" s="1505">
        <f t="shared" si="5"/>
        <v>1</v>
      </c>
    </row>
    <row r="14" spans="1:29" ht="85.5">
      <c r="A14" s="2627" t="s">
        <v>2733</v>
      </c>
      <c r="B14" s="541" t="s">
        <v>536</v>
      </c>
      <c r="C14" s="910" t="str">
        <f>IF(B1="工业",估价对象房地状况!G4,估价对象房地状况!C6)</f>
        <v>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85" t="s">
        <v>533</v>
      </c>
      <c r="Q14" s="1506" t="str">
        <f t="shared" si="6"/>
        <v>交通便捷度</v>
      </c>
      <c r="R14" s="1507" t="s">
        <v>8</v>
      </c>
      <c r="S14" s="1508">
        <f t="shared" si="0"/>
        <v>100</v>
      </c>
      <c r="T14" s="1507" t="s">
        <v>8</v>
      </c>
      <c r="U14" s="1508">
        <f t="shared" si="1"/>
        <v>100</v>
      </c>
      <c r="V14" s="1507" t="s">
        <v>8</v>
      </c>
      <c r="W14" s="1508">
        <f t="shared" si="2"/>
        <v>100</v>
      </c>
      <c r="X14" s="1501"/>
      <c r="Y14" s="3485" t="s">
        <v>533</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86"/>
      <c r="Q15" s="1506"/>
      <c r="R15" s="1507"/>
      <c r="S15" s="1508"/>
      <c r="T15" s="1507"/>
      <c r="U15" s="1508"/>
      <c r="V15" s="1507"/>
      <c r="W15" s="1508"/>
      <c r="X15" s="1501"/>
      <c r="Y15" s="3486"/>
      <c r="Z15" s="1509"/>
      <c r="AA15" s="1510">
        <v>1</v>
      </c>
      <c r="AB15" s="1510">
        <v>1</v>
      </c>
      <c r="AC15" s="1510">
        <v>1</v>
      </c>
    </row>
    <row r="16" spans="1:29" ht="42.75">
      <c r="A16" s="509"/>
      <c r="B16" s="2447" t="s">
        <v>2526</v>
      </c>
      <c r="C16" s="861" t="str">
        <f>IF(B1="工业",估价对象房地状况!G5,估价对象房地状况!C7)</f>
        <v>较好</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86"/>
      <c r="Q16" s="1506" t="str">
        <f>B16</f>
        <v>公共配套设施</v>
      </c>
      <c r="R16" s="1507" t="s">
        <v>8</v>
      </c>
      <c r="S16" s="1508">
        <f>F16</f>
        <v>100</v>
      </c>
      <c r="T16" s="1507" t="s">
        <v>8</v>
      </c>
      <c r="U16" s="1508">
        <f>H16</f>
        <v>100</v>
      </c>
      <c r="V16" s="1507" t="s">
        <v>8</v>
      </c>
      <c r="W16" s="1508">
        <f>J16</f>
        <v>100</v>
      </c>
      <c r="X16" s="1501"/>
      <c r="Y16" s="348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86"/>
      <c r="Q17" s="1506"/>
      <c r="R17" s="1507"/>
      <c r="S17" s="1508"/>
      <c r="T17" s="1507"/>
      <c r="U17" s="1508"/>
      <c r="V17" s="1507"/>
      <c r="W17" s="1508"/>
      <c r="X17" s="1501"/>
      <c r="Y17" s="3486"/>
      <c r="Z17" s="1509"/>
      <c r="AA17" s="1510">
        <v>1</v>
      </c>
      <c r="AB17" s="1510">
        <v>1</v>
      </c>
      <c r="AC17" s="1510">
        <v>1</v>
      </c>
    </row>
    <row r="18" spans="1:29" ht="28.5">
      <c r="A18" s="509"/>
      <c r="B18" s="2435" t="s">
        <v>2538</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86"/>
      <c r="Q18" s="2429" t="str">
        <f>B18</f>
        <v>基础设施水平</v>
      </c>
      <c r="R18" s="1507" t="s">
        <v>8</v>
      </c>
      <c r="S18" s="1508">
        <f>F18</f>
        <v>100</v>
      </c>
      <c r="T18" s="1507" t="s">
        <v>8</v>
      </c>
      <c r="U18" s="1508">
        <f>H18</f>
        <v>100</v>
      </c>
      <c r="V18" s="1507" t="s">
        <v>8</v>
      </c>
      <c r="W18" s="1508">
        <f>J18</f>
        <v>100</v>
      </c>
      <c r="X18" s="2431"/>
      <c r="Y18" s="348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86"/>
      <c r="Q19" s="2429"/>
      <c r="R19" s="1507"/>
      <c r="S19" s="1508"/>
      <c r="T19" s="1507"/>
      <c r="U19" s="1508"/>
      <c r="V19" s="1507"/>
      <c r="W19" s="1508"/>
      <c r="X19" s="2431"/>
      <c r="Y19" s="3486"/>
      <c r="Z19" s="2430"/>
      <c r="AA19" s="1510">
        <v>1</v>
      </c>
      <c r="AB19" s="1510">
        <v>1</v>
      </c>
      <c r="AC19" s="1510">
        <v>1</v>
      </c>
    </row>
    <row r="20" spans="1:29" ht="57">
      <c r="A20" s="509"/>
      <c r="B20" s="554" t="s">
        <v>797</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86"/>
      <c r="Q20" s="1506" t="str">
        <f>B20</f>
        <v>自然及人文环境</v>
      </c>
      <c r="R20" s="1507" t="s">
        <v>8</v>
      </c>
      <c r="S20" s="1508">
        <f>F20</f>
        <v>100</v>
      </c>
      <c r="T20" s="1507" t="s">
        <v>8</v>
      </c>
      <c r="U20" s="1508">
        <f>H20</f>
        <v>100</v>
      </c>
      <c r="V20" s="1507" t="s">
        <v>8</v>
      </c>
      <c r="W20" s="1508">
        <f>J20</f>
        <v>100</v>
      </c>
      <c r="X20" s="1501"/>
      <c r="Y20" s="348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86"/>
      <c r="Q21" s="1506"/>
      <c r="R21" s="1507"/>
      <c r="S21" s="1508"/>
      <c r="T21" s="1507"/>
      <c r="U21" s="1508"/>
      <c r="V21" s="1507"/>
      <c r="W21" s="1508"/>
      <c r="X21" s="1501"/>
      <c r="Y21" s="3486"/>
      <c r="Z21" s="1509"/>
      <c r="AA21" s="1510">
        <v>1</v>
      </c>
      <c r="AB21" s="1510">
        <v>1</v>
      </c>
      <c r="AC21" s="1510">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86"/>
      <c r="Q22" s="1506" t="str">
        <f>B22</f>
        <v>楼层</v>
      </c>
      <c r="R22" s="1507" t="s">
        <v>8</v>
      </c>
      <c r="S22" s="1508">
        <f>F22</f>
        <v>100</v>
      </c>
      <c r="T22" s="1507" t="s">
        <v>8</v>
      </c>
      <c r="U22" s="1508">
        <f>H22</f>
        <v>100</v>
      </c>
      <c r="V22" s="1507" t="s">
        <v>8</v>
      </c>
      <c r="W22" s="1508">
        <f>J22</f>
        <v>100</v>
      </c>
      <c r="X22" s="1501"/>
      <c r="Y22" s="3486"/>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86"/>
      <c r="Q23" s="1506">
        <f>B23</f>
        <v>111</v>
      </c>
      <c r="R23" s="1507" t="s">
        <v>8</v>
      </c>
      <c r="S23" s="1508">
        <f>F23</f>
        <v>100</v>
      </c>
      <c r="T23" s="1507" t="s">
        <v>8</v>
      </c>
      <c r="U23" s="1508">
        <f>H23</f>
        <v>100</v>
      </c>
      <c r="V23" s="1507" t="s">
        <v>8</v>
      </c>
      <c r="W23" s="1508">
        <f>J23</f>
        <v>100</v>
      </c>
      <c r="X23" s="1501"/>
      <c r="Y23" s="3486"/>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86"/>
      <c r="Q24" s="1506">
        <f t="shared" ref="Q24:Q36" si="11">B24</f>
        <v>111</v>
      </c>
      <c r="R24" s="1507" t="s">
        <v>8</v>
      </c>
      <c r="S24" s="1508">
        <f>F24</f>
        <v>100</v>
      </c>
      <c r="T24" s="1507" t="s">
        <v>8</v>
      </c>
      <c r="U24" s="1508">
        <f>H24</f>
        <v>100</v>
      </c>
      <c r="V24" s="1507" t="s">
        <v>8</v>
      </c>
      <c r="W24" s="1508">
        <f>J24</f>
        <v>100</v>
      </c>
      <c r="X24" s="1501"/>
      <c r="Y24" s="3486"/>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86"/>
      <c r="Q25" s="1134">
        <f t="shared" si="11"/>
        <v>111</v>
      </c>
      <c r="R25" s="1502" t="s">
        <v>8</v>
      </c>
      <c r="S25" s="1503">
        <f>F25</f>
        <v>100</v>
      </c>
      <c r="T25" s="1502" t="s">
        <v>8</v>
      </c>
      <c r="U25" s="1503">
        <f>H25</f>
        <v>100</v>
      </c>
      <c r="V25" s="1502" t="s">
        <v>8</v>
      </c>
      <c r="W25" s="1503">
        <f>J25</f>
        <v>100</v>
      </c>
      <c r="X25" s="1504"/>
      <c r="Y25" s="3486"/>
      <c r="Z25" s="1133">
        <f>Q25</f>
        <v>111</v>
      </c>
      <c r="AA25" s="1510">
        <f>D25/F25</f>
        <v>1</v>
      </c>
      <c r="AB25" s="1510">
        <f>D25/H25</f>
        <v>1</v>
      </c>
      <c r="AC25" s="1510">
        <f>D25/J25</f>
        <v>1</v>
      </c>
    </row>
    <row r="26" spans="1:29" ht="15">
      <c r="A26" s="2624" t="s">
        <v>2734</v>
      </c>
      <c r="B26" s="168" t="s">
        <v>799</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87" t="s">
        <v>543</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88" t="s">
        <v>543</v>
      </c>
      <c r="Z26" s="1509" t="str">
        <f t="shared" ref="Z26:Z36" si="15">Q26</f>
        <v>配套类型</v>
      </c>
      <c r="AA26" s="1510">
        <f t="shared" si="3"/>
        <v>1</v>
      </c>
      <c r="AB26" s="1510">
        <f t="shared" si="4"/>
        <v>1</v>
      </c>
      <c r="AC26" s="1510">
        <f t="shared" si="5"/>
        <v>1</v>
      </c>
    </row>
    <row r="27" spans="1:29" s="1293" customFormat="1" ht="15">
      <c r="A27" s="918"/>
      <c r="B27" s="576" t="s">
        <v>800</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88"/>
      <c r="Q27" s="1535" t="str">
        <f t="shared" si="11"/>
        <v>项目停车位配比</v>
      </c>
      <c r="R27" s="1511" t="s">
        <v>8</v>
      </c>
      <c r="S27" s="1512">
        <f t="shared" si="12"/>
        <v>100</v>
      </c>
      <c r="T27" s="1511" t="s">
        <v>8</v>
      </c>
      <c r="U27" s="1512">
        <f t="shared" si="13"/>
        <v>100</v>
      </c>
      <c r="V27" s="1511" t="s">
        <v>8</v>
      </c>
      <c r="W27" s="1512">
        <f t="shared" si="14"/>
        <v>100</v>
      </c>
      <c r="X27" s="1513"/>
      <c r="Y27" s="3488"/>
      <c r="Z27" s="1514" t="str">
        <f t="shared" si="15"/>
        <v>项目停车位配比</v>
      </c>
      <c r="AA27" s="1510">
        <f t="shared" si="3"/>
        <v>1</v>
      </c>
      <c r="AB27" s="1510">
        <f t="shared" si="4"/>
        <v>1</v>
      </c>
      <c r="AC27" s="1510">
        <f t="shared" si="5"/>
        <v>1</v>
      </c>
    </row>
    <row r="28" spans="1:29" ht="15">
      <c r="A28" s="920"/>
      <c r="B28" s="576" t="s">
        <v>801</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88"/>
      <c r="Q28" s="1506" t="str">
        <f t="shared" si="11"/>
        <v>公共部分装修</v>
      </c>
      <c r="R28" s="1507" t="s">
        <v>8</v>
      </c>
      <c r="S28" s="1508">
        <f t="shared" si="12"/>
        <v>100</v>
      </c>
      <c r="T28" s="1507" t="s">
        <v>8</v>
      </c>
      <c r="U28" s="1508">
        <f t="shared" si="13"/>
        <v>100</v>
      </c>
      <c r="V28" s="1507" t="s">
        <v>8</v>
      </c>
      <c r="W28" s="1508">
        <f t="shared" si="14"/>
        <v>100</v>
      </c>
      <c r="X28" s="1501"/>
      <c r="Y28" s="3488"/>
      <c r="Z28" s="1509" t="str">
        <f t="shared" si="15"/>
        <v>公共部分装修</v>
      </c>
      <c r="AA28" s="1510">
        <f t="shared" si="3"/>
        <v>1</v>
      </c>
      <c r="AB28" s="1510">
        <f t="shared" si="4"/>
        <v>1</v>
      </c>
      <c r="AC28" s="1510">
        <f t="shared" si="5"/>
        <v>1</v>
      </c>
    </row>
    <row r="29" spans="1:29" ht="15">
      <c r="A29" s="920"/>
      <c r="B29" s="576" t="s">
        <v>802</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88"/>
      <c r="Q29" s="1506" t="str">
        <f t="shared" si="11"/>
        <v>成新率</v>
      </c>
      <c r="R29" s="1507" t="s">
        <v>8</v>
      </c>
      <c r="S29" s="1508" t="e">
        <f t="shared" si="12"/>
        <v>#N/A</v>
      </c>
      <c r="T29" s="1507" t="s">
        <v>8</v>
      </c>
      <c r="U29" s="1508" t="e">
        <f t="shared" si="13"/>
        <v>#N/A</v>
      </c>
      <c r="V29" s="1507" t="s">
        <v>8</v>
      </c>
      <c r="W29" s="1508" t="e">
        <f t="shared" si="14"/>
        <v>#N/A</v>
      </c>
      <c r="X29" s="1501"/>
      <c r="Y29" s="3488"/>
      <c r="Z29" s="1509" t="str">
        <f t="shared" si="15"/>
        <v>成新率</v>
      </c>
      <c r="AA29" s="1510" t="e">
        <f t="shared" si="3"/>
        <v>#N/A</v>
      </c>
      <c r="AB29" s="1510" t="e">
        <f t="shared" si="4"/>
        <v>#N/A</v>
      </c>
      <c r="AC29" s="1510" t="e">
        <f t="shared" si="5"/>
        <v>#N/A</v>
      </c>
    </row>
    <row r="30" spans="1:29" ht="15">
      <c r="A30" s="920"/>
      <c r="B30" s="576" t="s">
        <v>803</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88"/>
      <c r="Q30" s="1506" t="str">
        <f t="shared" si="11"/>
        <v>物业等级</v>
      </c>
      <c r="R30" s="1507" t="s">
        <v>8</v>
      </c>
      <c r="S30" s="1508">
        <f t="shared" si="12"/>
        <v>100</v>
      </c>
      <c r="T30" s="1507" t="s">
        <v>8</v>
      </c>
      <c r="U30" s="1508">
        <f t="shared" si="13"/>
        <v>100</v>
      </c>
      <c r="V30" s="1507" t="s">
        <v>8</v>
      </c>
      <c r="W30" s="1508">
        <f t="shared" si="14"/>
        <v>100</v>
      </c>
      <c r="X30" s="1501"/>
      <c r="Y30" s="3488"/>
      <c r="Z30" s="1509" t="str">
        <f t="shared" si="15"/>
        <v>物业等级</v>
      </c>
      <c r="AA30" s="1510">
        <f t="shared" si="3"/>
        <v>1</v>
      </c>
      <c r="AB30" s="1510">
        <f t="shared" si="4"/>
        <v>1</v>
      </c>
      <c r="AC30" s="1510">
        <f t="shared" si="5"/>
        <v>1</v>
      </c>
    </row>
    <row r="31" spans="1:29" s="1203" customFormat="1" ht="15">
      <c r="A31" s="922"/>
      <c r="B31" s="576" t="s">
        <v>804</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88"/>
      <c r="Q31" s="1134" t="str">
        <f t="shared" si="11"/>
        <v>停车位面积</v>
      </c>
      <c r="R31" s="1502" t="s">
        <v>8</v>
      </c>
      <c r="S31" s="1503" t="e">
        <f t="shared" si="12"/>
        <v>#N/A</v>
      </c>
      <c r="T31" s="1502" t="s">
        <v>8</v>
      </c>
      <c r="U31" s="1503" t="e">
        <f t="shared" si="13"/>
        <v>#N/A</v>
      </c>
      <c r="V31" s="1502" t="s">
        <v>8</v>
      </c>
      <c r="W31" s="1503" t="e">
        <f t="shared" si="14"/>
        <v>#N/A</v>
      </c>
      <c r="X31" s="1504"/>
      <c r="Y31" s="3488"/>
      <c r="Z31" s="1133" t="str">
        <f t="shared" si="15"/>
        <v>停车位面积</v>
      </c>
      <c r="AA31" s="1505" t="e">
        <f t="shared" si="3"/>
        <v>#N/A</v>
      </c>
      <c r="AB31" s="1505" t="e">
        <f t="shared" si="4"/>
        <v>#N/A</v>
      </c>
      <c r="AC31" s="1505" t="e">
        <f t="shared" si="5"/>
        <v>#N/A</v>
      </c>
    </row>
    <row r="32" spans="1:29" ht="15">
      <c r="A32" s="920"/>
      <c r="B32" s="576" t="s">
        <v>805</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88" t="s">
        <v>543</v>
      </c>
      <c r="Q32" s="1506" t="str">
        <f t="shared" si="11"/>
        <v>车位类型</v>
      </c>
      <c r="R32" s="1507" t="s">
        <v>8</v>
      </c>
      <c r="S32" s="1508">
        <f t="shared" si="12"/>
        <v>100</v>
      </c>
      <c r="T32" s="1507" t="s">
        <v>8</v>
      </c>
      <c r="U32" s="1508">
        <f t="shared" si="13"/>
        <v>100</v>
      </c>
      <c r="V32" s="1507" t="s">
        <v>8</v>
      </c>
      <c r="W32" s="1508">
        <f t="shared" si="14"/>
        <v>100</v>
      </c>
      <c r="X32" s="1501"/>
      <c r="Y32" s="3488" t="s">
        <v>543</v>
      </c>
      <c r="Z32" s="1509" t="str">
        <f t="shared" si="15"/>
        <v>车位类型</v>
      </c>
      <c r="AA32" s="1510">
        <f t="shared" si="3"/>
        <v>1</v>
      </c>
      <c r="AB32" s="1510">
        <f t="shared" si="4"/>
        <v>1</v>
      </c>
      <c r="AC32" s="1510">
        <f t="shared" si="5"/>
        <v>1</v>
      </c>
    </row>
    <row r="33" spans="1:29" ht="15">
      <c r="A33" s="920"/>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88"/>
      <c r="Q33" s="1506" t="str">
        <f t="shared" si="11"/>
        <v>是否直接入户</v>
      </c>
      <c r="R33" s="1507" t="s">
        <v>8</v>
      </c>
      <c r="S33" s="1508">
        <f t="shared" si="12"/>
        <v>100</v>
      </c>
      <c r="T33" s="1507" t="s">
        <v>8</v>
      </c>
      <c r="U33" s="1508">
        <f t="shared" si="13"/>
        <v>100</v>
      </c>
      <c r="V33" s="1507" t="s">
        <v>8</v>
      </c>
      <c r="W33" s="1508">
        <f t="shared" si="14"/>
        <v>100</v>
      </c>
      <c r="X33" s="1501"/>
      <c r="Y33" s="3488"/>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88"/>
      <c r="Q34" s="1506">
        <f t="shared" si="11"/>
        <v>111</v>
      </c>
      <c r="R34" s="1507" t="s">
        <v>8</v>
      </c>
      <c r="S34" s="1508">
        <f t="shared" si="12"/>
        <v>100</v>
      </c>
      <c r="T34" s="1507" t="s">
        <v>8</v>
      </c>
      <c r="U34" s="1508">
        <f t="shared" si="13"/>
        <v>100</v>
      </c>
      <c r="V34" s="1507" t="s">
        <v>8</v>
      </c>
      <c r="W34" s="1508">
        <f t="shared" si="14"/>
        <v>100</v>
      </c>
      <c r="X34" s="1501"/>
      <c r="Y34" s="3488"/>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88"/>
      <c r="Q35" s="1535">
        <f t="shared" si="11"/>
        <v>111</v>
      </c>
      <c r="R35" s="1511" t="s">
        <v>8</v>
      </c>
      <c r="S35" s="1512">
        <f t="shared" si="12"/>
        <v>100</v>
      </c>
      <c r="T35" s="1511" t="s">
        <v>8</v>
      </c>
      <c r="U35" s="1512">
        <f t="shared" si="13"/>
        <v>100</v>
      </c>
      <c r="V35" s="1511" t="s">
        <v>8</v>
      </c>
      <c r="W35" s="1512">
        <f t="shared" si="14"/>
        <v>100</v>
      </c>
      <c r="X35" s="1513"/>
      <c r="Y35" s="3488"/>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88"/>
      <c r="Q36" s="1506">
        <f t="shared" si="11"/>
        <v>111</v>
      </c>
      <c r="R36" s="1507" t="s">
        <v>8</v>
      </c>
      <c r="S36" s="1508">
        <f t="shared" si="12"/>
        <v>100</v>
      </c>
      <c r="T36" s="1507" t="s">
        <v>8</v>
      </c>
      <c r="U36" s="1508">
        <f t="shared" si="13"/>
        <v>100</v>
      </c>
      <c r="V36" s="1507" t="s">
        <v>8</v>
      </c>
      <c r="W36" s="1508">
        <f t="shared" si="14"/>
        <v>100</v>
      </c>
      <c r="X36" s="1501"/>
      <c r="Y36" s="3488"/>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83" t="str">
        <f>A37</f>
        <v>成交单价</v>
      </c>
      <c r="Q37" s="3483"/>
      <c r="R37" s="3588">
        <f>E37</f>
        <v>0</v>
      </c>
      <c r="S37" s="3588"/>
      <c r="T37" s="3588">
        <f>G37</f>
        <v>0</v>
      </c>
      <c r="U37" s="3588"/>
      <c r="V37" s="3588">
        <f>I37</f>
        <v>0</v>
      </c>
      <c r="W37" s="3588"/>
      <c r="X37" s="1496"/>
      <c r="Y37" s="1515"/>
      <c r="Z37" s="1496"/>
      <c r="AA37" s="1496"/>
      <c r="AB37" s="1496"/>
      <c r="AC37" s="1496"/>
    </row>
    <row r="38" spans="1:29" ht="15.75" thickBot="1">
      <c r="A38" s="609" t="s">
        <v>2739</v>
      </c>
      <c r="B38" s="877"/>
      <c r="C38" s="2476" t="e">
        <f>R39</f>
        <v>#DIV/0!</v>
      </c>
      <c r="D38" s="3013" t="s">
        <v>2965</v>
      </c>
      <c r="E38" s="2477" t="e">
        <f>R38</f>
        <v>#DIV/0!</v>
      </c>
      <c r="F38" s="3014"/>
      <c r="G38" s="2476" t="e">
        <f>T38</f>
        <v>#DIV/0!</v>
      </c>
      <c r="H38" s="3014"/>
      <c r="I38" s="2477" t="e">
        <f>V38</f>
        <v>#DIV/0!</v>
      </c>
      <c r="J38" s="3014"/>
      <c r="K38" s="3022">
        <f>F38+H38+J38</f>
        <v>0</v>
      </c>
      <c r="L38" s="2026"/>
      <c r="M38" s="2027"/>
      <c r="N38" s="2027"/>
      <c r="O38" s="2027"/>
      <c r="P38" s="3483" t="str">
        <f>A38</f>
        <v>比较价格（元/平方米）</v>
      </c>
      <c r="Q38" s="3483"/>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04" t="str">
        <f>A39</f>
        <v>估价对象XX用房的比较价格（楼面单价，元/平方米）</v>
      </c>
      <c r="Q39" s="3505"/>
      <c r="R39" s="3587" t="e">
        <f>IF(F1="售价",ROUND(IF(D38="简单平均",AVERAGE(R38:W38),R38*F38+T38*H38+V38*J38),0),ROUND(IF(D38="简单平均",AVERAGE(R38:V38),R38*F38+T38*H38+V38*J38),1))</f>
        <v>#DIV/0!</v>
      </c>
      <c r="S39" s="3587"/>
      <c r="T39" s="3587"/>
      <c r="U39" s="3587"/>
      <c r="V39" s="3587"/>
      <c r="W39" s="3587"/>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550</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551</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3"/>
      <c r="B44" s="3213"/>
      <c r="C44" s="616" t="s">
        <v>552</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567</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522</v>
      </c>
      <c r="B48" s="638"/>
      <c r="C48" s="2519" t="str">
        <f>YEAR(C7)&amp;"-"&amp;MONTH(C7)</f>
        <v>2021-9</v>
      </c>
      <c r="D48" s="2521">
        <f>EDATE(C48,-1)</f>
        <v>44409</v>
      </c>
      <c r="E48" s="2521">
        <f t="shared" ref="E48:O48" si="16">EDATE(D48,-1)</f>
        <v>44378</v>
      </c>
      <c r="F48" s="2521">
        <f t="shared" si="16"/>
        <v>44348</v>
      </c>
      <c r="G48" s="2521">
        <f t="shared" si="16"/>
        <v>44317</v>
      </c>
      <c r="H48" s="2521">
        <f t="shared" si="16"/>
        <v>44287</v>
      </c>
      <c r="I48" s="2521">
        <f t="shared" si="16"/>
        <v>44256</v>
      </c>
      <c r="J48" s="2521">
        <f t="shared" si="16"/>
        <v>44228</v>
      </c>
      <c r="K48" s="2521">
        <f t="shared" si="16"/>
        <v>44197</v>
      </c>
      <c r="L48" s="2521">
        <f t="shared" si="16"/>
        <v>44166</v>
      </c>
      <c r="M48" s="2521">
        <f t="shared" si="16"/>
        <v>44136</v>
      </c>
      <c r="N48" s="2521">
        <f t="shared" si="16"/>
        <v>44105</v>
      </c>
      <c r="O48" s="2521">
        <f t="shared" si="16"/>
        <v>44075</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568</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524</v>
      </c>
      <c r="B51" s="640"/>
      <c r="C51" s="652" t="s">
        <v>569</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570</v>
      </c>
      <c r="B53" s="657" t="s">
        <v>527</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572</v>
      </c>
      <c r="D65" s="700" t="s">
        <v>573</v>
      </c>
      <c r="E65" s="700" t="s">
        <v>574</v>
      </c>
      <c r="F65" s="700" t="s">
        <v>575</v>
      </c>
      <c r="G65" s="700" t="s">
        <v>576</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700" t="s">
        <v>572</v>
      </c>
      <c r="D69" s="700" t="s">
        <v>573</v>
      </c>
      <c r="E69" s="700" t="s">
        <v>574</v>
      </c>
      <c r="F69" s="700" t="s">
        <v>575</v>
      </c>
      <c r="G69" s="700" t="s">
        <v>576</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738</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544</v>
      </c>
      <c r="B79" s="657" t="s">
        <v>807</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808</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744</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811</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813</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1" t="s">
        <v>786</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787</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788</v>
      </c>
      <c r="B3" s="504" t="e">
        <f>C37</f>
        <v>#DIV/0!</v>
      </c>
      <c r="C3" s="841" t="s">
        <v>789</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790</v>
      </c>
      <c r="B4" s="507"/>
      <c r="C4" s="3489" t="s">
        <v>791</v>
      </c>
      <c r="D4" s="3490"/>
      <c r="E4" s="3514" t="s">
        <v>792</v>
      </c>
      <c r="F4" s="3515"/>
      <c r="G4" s="3489" t="s">
        <v>793</v>
      </c>
      <c r="H4" s="3490"/>
      <c r="I4" s="3489" t="s">
        <v>794</v>
      </c>
      <c r="J4" s="3490"/>
      <c r="K4" s="508" t="s">
        <v>795</v>
      </c>
      <c r="L4" s="2015"/>
      <c r="M4" s="2016"/>
      <c r="N4" s="2016"/>
      <c r="O4" s="2016"/>
      <c r="P4" s="3491" t="s">
        <v>796</v>
      </c>
      <c r="Q4" s="3492"/>
      <c r="R4" s="3477" t="s">
        <v>792</v>
      </c>
      <c r="S4" s="3478"/>
      <c r="T4" s="3477" t="s">
        <v>793</v>
      </c>
      <c r="U4" s="3478"/>
      <c r="V4" s="3497" t="s">
        <v>794</v>
      </c>
      <c r="W4" s="3497"/>
      <c r="X4" s="1501"/>
      <c r="Y4" s="3477" t="s">
        <v>796</v>
      </c>
      <c r="Z4" s="3478"/>
      <c r="AA4" s="3472" t="s">
        <v>792</v>
      </c>
      <c r="AB4" s="3473" t="s">
        <v>793</v>
      </c>
      <c r="AC4" s="3472" t="s">
        <v>794</v>
      </c>
    </row>
    <row r="5" spans="1:29" ht="15">
      <c r="A5" s="509"/>
      <c r="B5" s="510"/>
      <c r="C5" s="3500" t="s">
        <v>2891</v>
      </c>
      <c r="D5" s="3501"/>
      <c r="E5" s="3516" t="s">
        <v>2892</v>
      </c>
      <c r="F5" s="3517"/>
      <c r="G5" s="3500" t="s">
        <v>2893</v>
      </c>
      <c r="H5" s="3501"/>
      <c r="I5" s="3500" t="s">
        <v>2894</v>
      </c>
      <c r="J5" s="3501"/>
      <c r="K5" s="508"/>
      <c r="L5" s="2015"/>
      <c r="M5" s="2016"/>
      <c r="N5" s="2016"/>
      <c r="O5" s="2016"/>
      <c r="P5" s="3493"/>
      <c r="Q5" s="3494"/>
      <c r="R5" s="3479"/>
      <c r="S5" s="3480"/>
      <c r="T5" s="3479"/>
      <c r="U5" s="3480"/>
      <c r="V5" s="3497"/>
      <c r="W5" s="3497"/>
      <c r="X5" s="1501"/>
      <c r="Y5" s="3479"/>
      <c r="Z5" s="3480"/>
      <c r="AA5" s="3473"/>
      <c r="AB5" s="3473"/>
      <c r="AC5" s="3473"/>
    </row>
    <row r="6" spans="1:29" ht="15.75" thickBot="1">
      <c r="A6" s="511"/>
      <c r="B6" s="512"/>
      <c r="C6" s="3498" t="s">
        <v>2895</v>
      </c>
      <c r="D6" s="3499"/>
      <c r="E6" s="3518" t="s">
        <v>2895</v>
      </c>
      <c r="F6" s="3519"/>
      <c r="G6" s="3498" t="s">
        <v>2895</v>
      </c>
      <c r="H6" s="3499"/>
      <c r="I6" s="3498" t="s">
        <v>2895</v>
      </c>
      <c r="J6" s="3499"/>
      <c r="K6" s="508" t="s">
        <v>521</v>
      </c>
      <c r="L6" s="2015"/>
      <c r="M6" s="2016"/>
      <c r="N6" s="2016"/>
      <c r="O6" s="2016"/>
      <c r="P6" s="3495"/>
      <c r="Q6" s="3496"/>
      <c r="R6" s="3479"/>
      <c r="S6" s="3480"/>
      <c r="T6" s="3481"/>
      <c r="U6" s="3482"/>
      <c r="V6" s="3497"/>
      <c r="W6" s="3497"/>
      <c r="X6" s="1501"/>
      <c r="Y6" s="3481"/>
      <c r="Z6" s="3482"/>
      <c r="AA6" s="3474"/>
      <c r="AB6" s="3474"/>
      <c r="AC6" s="3474"/>
    </row>
    <row r="7" spans="1:29" s="1203" customFormat="1" ht="15.75" thickBot="1">
      <c r="A7" s="2629"/>
      <c r="B7" s="2636" t="s">
        <v>522</v>
      </c>
      <c r="C7" s="513">
        <f>'数据-取费表'!B2</f>
        <v>44448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75" t="s">
        <v>523</v>
      </c>
      <c r="Q7" s="3484"/>
      <c r="R7" s="1502" t="s">
        <v>8</v>
      </c>
      <c r="S7" s="1503">
        <f t="shared" ref="S7:S14" si="0">F7</f>
        <v>0</v>
      </c>
      <c r="T7" s="1502" t="s">
        <v>8</v>
      </c>
      <c r="U7" s="1503">
        <f t="shared" ref="U7:U14" si="1">H7</f>
        <v>0</v>
      </c>
      <c r="V7" s="1502" t="s">
        <v>8</v>
      </c>
      <c r="W7" s="1503">
        <f t="shared" ref="W7:W14" si="2">J7</f>
        <v>0</v>
      </c>
      <c r="X7" s="1504"/>
      <c r="Y7" s="3475" t="s">
        <v>523</v>
      </c>
      <c r="Z7" s="3476"/>
      <c r="AA7" s="1505" t="e">
        <f>D7/F7</f>
        <v>#DIV/0!</v>
      </c>
      <c r="AB7" s="1505" t="e">
        <f>D7/H7</f>
        <v>#DIV/0!</v>
      </c>
      <c r="AC7" s="1505" t="e">
        <f>D7/J7</f>
        <v>#DIV/0!</v>
      </c>
    </row>
    <row r="8" spans="1:29" s="1203" customFormat="1" ht="15.75" thickBot="1">
      <c r="A8" s="2630"/>
      <c r="B8" s="2637" t="s">
        <v>524</v>
      </c>
      <c r="C8" s="519" t="s">
        <v>569</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75" t="s">
        <v>526</v>
      </c>
      <c r="Q8" s="3476"/>
      <c r="R8" s="1502" t="s">
        <v>8</v>
      </c>
      <c r="S8" s="1503">
        <f t="shared" si="0"/>
        <v>0</v>
      </c>
      <c r="T8" s="1502" t="s">
        <v>8</v>
      </c>
      <c r="U8" s="1503">
        <f t="shared" si="1"/>
        <v>0</v>
      </c>
      <c r="V8" s="1502" t="s">
        <v>8</v>
      </c>
      <c r="W8" s="1503">
        <f t="shared" si="2"/>
        <v>0</v>
      </c>
      <c r="X8" s="1504"/>
      <c r="Y8" s="3475" t="s">
        <v>526</v>
      </c>
      <c r="Z8" s="3476"/>
      <c r="AA8" s="1505" t="e">
        <f t="shared" ref="AA8:AA34" si="3">D8/F8</f>
        <v>#DIV/0!</v>
      </c>
      <c r="AB8" s="1505" t="e">
        <f t="shared" ref="AB8:AB34" si="4">D8/H8</f>
        <v>#DIV/0!</v>
      </c>
      <c r="AC8" s="1505" t="e">
        <f t="shared" ref="AC8:AC34" si="5">D8/J8</f>
        <v>#DIV/0!</v>
      </c>
    </row>
    <row r="9" spans="1:29" s="1203"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3" t="s">
        <v>528</v>
      </c>
      <c r="Q9" s="1134" t="str">
        <f t="shared" ref="Q9:Q14" si="6">B9</f>
        <v>用途</v>
      </c>
      <c r="R9" s="1502" t="s">
        <v>8</v>
      </c>
      <c r="S9" s="1503">
        <f t="shared" si="0"/>
        <v>100</v>
      </c>
      <c r="T9" s="1502" t="s">
        <v>8</v>
      </c>
      <c r="U9" s="1503">
        <f t="shared" si="1"/>
        <v>100</v>
      </c>
      <c r="V9" s="1502" t="s">
        <v>8</v>
      </c>
      <c r="W9" s="1503">
        <f t="shared" si="2"/>
        <v>100</v>
      </c>
      <c r="X9" s="1504"/>
      <c r="Y9" s="3434" t="s">
        <v>529</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3"/>
      <c r="Q10" s="1134" t="str">
        <f t="shared" si="6"/>
        <v>土地使用年限（年）</v>
      </c>
      <c r="R10" s="1502" t="s">
        <v>8</v>
      </c>
      <c r="S10" s="1503">
        <f t="shared" si="0"/>
        <v>100</v>
      </c>
      <c r="T10" s="1502" t="s">
        <v>8</v>
      </c>
      <c r="U10" s="1503">
        <f t="shared" si="1"/>
        <v>100</v>
      </c>
      <c r="V10" s="1502" t="s">
        <v>8</v>
      </c>
      <c r="W10" s="1503">
        <f t="shared" si="2"/>
        <v>100</v>
      </c>
      <c r="X10" s="1504"/>
      <c r="Y10" s="3434"/>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83"/>
      <c r="Q11" s="1134">
        <f t="shared" si="6"/>
        <v>111</v>
      </c>
      <c r="R11" s="1502" t="s">
        <v>8</v>
      </c>
      <c r="S11" s="1503">
        <f t="shared" si="0"/>
        <v>100</v>
      </c>
      <c r="T11" s="1502" t="s">
        <v>8</v>
      </c>
      <c r="U11" s="1503">
        <f t="shared" si="1"/>
        <v>100</v>
      </c>
      <c r="V11" s="1502" t="s">
        <v>8</v>
      </c>
      <c r="W11" s="1503">
        <f t="shared" si="2"/>
        <v>100</v>
      </c>
      <c r="X11" s="1504"/>
      <c r="Y11" s="3434"/>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83"/>
      <c r="Q12" s="1134">
        <f t="shared" si="6"/>
        <v>111</v>
      </c>
      <c r="R12" s="1502" t="s">
        <v>8</v>
      </c>
      <c r="S12" s="1503">
        <f t="shared" si="0"/>
        <v>100</v>
      </c>
      <c r="T12" s="1502" t="s">
        <v>8</v>
      </c>
      <c r="U12" s="1503">
        <f t="shared" si="1"/>
        <v>100</v>
      </c>
      <c r="V12" s="1502" t="s">
        <v>8</v>
      </c>
      <c r="W12" s="1503">
        <f t="shared" si="2"/>
        <v>100</v>
      </c>
      <c r="X12" s="1504"/>
      <c r="Y12" s="3434"/>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83"/>
      <c r="Q13" s="1134">
        <f t="shared" si="6"/>
        <v>111</v>
      </c>
      <c r="R13" s="1502" t="s">
        <v>8</v>
      </c>
      <c r="S13" s="1503">
        <f t="shared" si="0"/>
        <v>100</v>
      </c>
      <c r="T13" s="1502" t="s">
        <v>8</v>
      </c>
      <c r="U13" s="1503">
        <f t="shared" si="1"/>
        <v>100</v>
      </c>
      <c r="V13" s="1502" t="s">
        <v>8</v>
      </c>
      <c r="W13" s="1503">
        <f t="shared" si="2"/>
        <v>100</v>
      </c>
      <c r="X13" s="1504"/>
      <c r="Y13" s="3434"/>
      <c r="Z13" s="1133">
        <f t="shared" si="7"/>
        <v>111</v>
      </c>
      <c r="AA13" s="1505">
        <f t="shared" si="3"/>
        <v>1</v>
      </c>
      <c r="AB13" s="1505">
        <f t="shared" si="4"/>
        <v>1</v>
      </c>
      <c r="AC13" s="1505">
        <f t="shared" si="5"/>
        <v>1</v>
      </c>
    </row>
    <row r="14" spans="1:29" ht="85.5">
      <c r="A14" s="2627" t="s">
        <v>2733</v>
      </c>
      <c r="B14" s="164" t="s">
        <v>536</v>
      </c>
      <c r="C14" s="910" t="str">
        <f>IF(B1="工业",估价对象房地状况!G4,估价对象房地状况!C6)</f>
        <v>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85" t="s">
        <v>533</v>
      </c>
      <c r="Q14" s="1506" t="str">
        <f t="shared" si="6"/>
        <v>交通便捷度</v>
      </c>
      <c r="R14" s="1507" t="s">
        <v>8</v>
      </c>
      <c r="S14" s="1508">
        <f t="shared" si="0"/>
        <v>100</v>
      </c>
      <c r="T14" s="1507" t="s">
        <v>8</v>
      </c>
      <c r="U14" s="1508">
        <f t="shared" si="1"/>
        <v>100</v>
      </c>
      <c r="V14" s="1507" t="s">
        <v>8</v>
      </c>
      <c r="W14" s="1508">
        <f t="shared" si="2"/>
        <v>100</v>
      </c>
      <c r="X14" s="1501"/>
      <c r="Y14" s="3485" t="s">
        <v>533</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86"/>
      <c r="Q15" s="1506"/>
      <c r="R15" s="1507"/>
      <c r="S15" s="1508"/>
      <c r="T15" s="1507"/>
      <c r="U15" s="1508"/>
      <c r="V15" s="1507"/>
      <c r="W15" s="1508"/>
      <c r="X15" s="1501"/>
      <c r="Y15" s="3486"/>
      <c r="Z15" s="1509"/>
      <c r="AA15" s="1510">
        <v>1</v>
      </c>
      <c r="AB15" s="1510">
        <v>1</v>
      </c>
      <c r="AC15" s="1510">
        <v>1</v>
      </c>
    </row>
    <row r="16" spans="1:29" ht="42.75">
      <c r="A16" s="526"/>
      <c r="B16" s="2447" t="s">
        <v>2526</v>
      </c>
      <c r="C16" s="861" t="str">
        <f>IF(B1="工业",估价对象房地状况!G5,估价对象房地状况!C7)</f>
        <v>较好</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86"/>
      <c r="Q16" s="1506" t="str">
        <f>B16</f>
        <v>公共配套设施</v>
      </c>
      <c r="R16" s="1507" t="s">
        <v>8</v>
      </c>
      <c r="S16" s="1508">
        <f>F16</f>
        <v>100</v>
      </c>
      <c r="T16" s="1507" t="s">
        <v>8</v>
      </c>
      <c r="U16" s="1508">
        <f>H16</f>
        <v>100</v>
      </c>
      <c r="V16" s="1507" t="s">
        <v>8</v>
      </c>
      <c r="W16" s="1508">
        <f>J16</f>
        <v>100</v>
      </c>
      <c r="X16" s="1501"/>
      <c r="Y16" s="348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86"/>
      <c r="Q17" s="1506"/>
      <c r="R17" s="1507"/>
      <c r="S17" s="1508"/>
      <c r="T17" s="1507"/>
      <c r="U17" s="1508"/>
      <c r="V17" s="1507"/>
      <c r="W17" s="1508"/>
      <c r="X17" s="1501"/>
      <c r="Y17" s="3486"/>
      <c r="Z17" s="1509"/>
      <c r="AA17" s="1510">
        <v>1</v>
      </c>
      <c r="AB17" s="1510">
        <v>1</v>
      </c>
      <c r="AC17" s="1510">
        <v>1</v>
      </c>
    </row>
    <row r="18" spans="1:29" ht="28.5">
      <c r="A18" s="526"/>
      <c r="B18" s="2435" t="s">
        <v>2538</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86"/>
      <c r="Q18" s="2429" t="str">
        <f>B18</f>
        <v>基础设施水平</v>
      </c>
      <c r="R18" s="1507" t="s">
        <v>8</v>
      </c>
      <c r="S18" s="1508">
        <f>F18</f>
        <v>100</v>
      </c>
      <c r="T18" s="1507" t="s">
        <v>8</v>
      </c>
      <c r="U18" s="1508">
        <f>H18</f>
        <v>100</v>
      </c>
      <c r="V18" s="1507" t="s">
        <v>8</v>
      </c>
      <c r="W18" s="1508">
        <f>J18</f>
        <v>100</v>
      </c>
      <c r="X18" s="2431"/>
      <c r="Y18" s="348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86"/>
      <c r="Q19" s="2429"/>
      <c r="R19" s="1507"/>
      <c r="S19" s="1508"/>
      <c r="T19" s="1507"/>
      <c r="U19" s="1508"/>
      <c r="V19" s="1507"/>
      <c r="W19" s="1508"/>
      <c r="X19" s="2431"/>
      <c r="Y19" s="3486"/>
      <c r="Z19" s="2430"/>
      <c r="AA19" s="1510">
        <v>1</v>
      </c>
      <c r="AB19" s="1510">
        <v>1</v>
      </c>
      <c r="AC19" s="1510">
        <v>1</v>
      </c>
    </row>
    <row r="20" spans="1:29" ht="57">
      <c r="A20" s="526"/>
      <c r="B20" s="860" t="s">
        <v>797</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86"/>
      <c r="Q20" s="1506" t="str">
        <f>B20</f>
        <v>自然及人文环境</v>
      </c>
      <c r="R20" s="1507" t="s">
        <v>8</v>
      </c>
      <c r="S20" s="1508">
        <f>F20</f>
        <v>100</v>
      </c>
      <c r="T20" s="1507" t="s">
        <v>8</v>
      </c>
      <c r="U20" s="1508">
        <f>H20</f>
        <v>100</v>
      </c>
      <c r="V20" s="1507" t="s">
        <v>8</v>
      </c>
      <c r="W20" s="1508">
        <f>J20</f>
        <v>100</v>
      </c>
      <c r="X20" s="1501"/>
      <c r="Y20" s="348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86"/>
      <c r="Q21" s="1506"/>
      <c r="R21" s="1507"/>
      <c r="S21" s="1508"/>
      <c r="T21" s="1507"/>
      <c r="U21" s="1508"/>
      <c r="V21" s="1507"/>
      <c r="W21" s="1508"/>
      <c r="X21" s="1501"/>
      <c r="Y21" s="3486"/>
      <c r="Z21" s="1509"/>
      <c r="AA21" s="1510">
        <v>1</v>
      </c>
      <c r="AB21" s="1510">
        <v>1</v>
      </c>
      <c r="AC21" s="1510">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86"/>
      <c r="Q22" s="1506" t="str">
        <f>B22</f>
        <v>楼层</v>
      </c>
      <c r="R22" s="1507" t="s">
        <v>8</v>
      </c>
      <c r="S22" s="1508">
        <f>F22</f>
        <v>100</v>
      </c>
      <c r="T22" s="1507" t="s">
        <v>8</v>
      </c>
      <c r="U22" s="1508">
        <f>H22</f>
        <v>100</v>
      </c>
      <c r="V22" s="1507" t="s">
        <v>8</v>
      </c>
      <c r="W22" s="1508">
        <f>J22</f>
        <v>100</v>
      </c>
      <c r="X22" s="1501"/>
      <c r="Y22" s="348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86"/>
      <c r="Q23" s="1506">
        <f>B23</f>
        <v>111</v>
      </c>
      <c r="R23" s="1507" t="s">
        <v>8</v>
      </c>
      <c r="S23" s="1508">
        <f>F23</f>
        <v>100</v>
      </c>
      <c r="T23" s="1507" t="s">
        <v>8</v>
      </c>
      <c r="U23" s="1508">
        <f>H23</f>
        <v>100</v>
      </c>
      <c r="V23" s="1507" t="s">
        <v>8</v>
      </c>
      <c r="W23" s="1508">
        <f>J23</f>
        <v>100</v>
      </c>
      <c r="X23" s="1501"/>
      <c r="Y23" s="348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86"/>
      <c r="Q24" s="1506">
        <f t="shared" ref="Q24:Q34" si="11">B24</f>
        <v>111</v>
      </c>
      <c r="R24" s="1507" t="s">
        <v>8</v>
      </c>
      <c r="S24" s="1508">
        <f>F24</f>
        <v>100</v>
      </c>
      <c r="T24" s="1507" t="s">
        <v>8</v>
      </c>
      <c r="U24" s="1508">
        <f>H24</f>
        <v>100</v>
      </c>
      <c r="V24" s="1507" t="s">
        <v>8</v>
      </c>
      <c r="W24" s="1508">
        <f>J24</f>
        <v>100</v>
      </c>
      <c r="X24" s="1501"/>
      <c r="Y24" s="3486"/>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86"/>
      <c r="Q25" s="1134">
        <f t="shared" si="11"/>
        <v>111</v>
      </c>
      <c r="R25" s="1502" t="s">
        <v>8</v>
      </c>
      <c r="S25" s="1503">
        <f>F25</f>
        <v>100</v>
      </c>
      <c r="T25" s="1502" t="s">
        <v>8</v>
      </c>
      <c r="U25" s="1503">
        <f>H25</f>
        <v>100</v>
      </c>
      <c r="V25" s="1502" t="s">
        <v>8</v>
      </c>
      <c r="W25" s="1503">
        <f>J25</f>
        <v>100</v>
      </c>
      <c r="X25" s="1504"/>
      <c r="Y25" s="3486"/>
      <c r="Z25" s="1133">
        <f>Q25</f>
        <v>111</v>
      </c>
      <c r="AA25" s="1510">
        <f>D25/F25</f>
        <v>1</v>
      </c>
      <c r="AB25" s="1510">
        <f>D25/H25</f>
        <v>1</v>
      </c>
      <c r="AC25" s="1510">
        <f>D25/J25</f>
        <v>1</v>
      </c>
    </row>
    <row r="26" spans="1:29" ht="15">
      <c r="A26" s="2624" t="s">
        <v>2734</v>
      </c>
      <c r="B26" s="170" t="s">
        <v>801</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87" t="s">
        <v>814</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88" t="s">
        <v>814</v>
      </c>
      <c r="Z26" s="1509" t="str">
        <f t="shared" ref="Z26:Z34" si="15">Q26</f>
        <v>公共部分装修</v>
      </c>
      <c r="AA26" s="1510">
        <f t="shared" si="3"/>
        <v>1</v>
      </c>
      <c r="AB26" s="1510">
        <f t="shared" si="4"/>
        <v>1</v>
      </c>
      <c r="AC26" s="1510">
        <f t="shared" si="5"/>
        <v>1</v>
      </c>
    </row>
    <row r="27" spans="1:29" s="1293" customFormat="1" ht="15">
      <c r="A27" s="597"/>
      <c r="B27" s="521" t="s">
        <v>802</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88"/>
      <c r="Q27" s="1535" t="str">
        <f t="shared" si="11"/>
        <v>成新率</v>
      </c>
      <c r="R27" s="1511" t="s">
        <v>8</v>
      </c>
      <c r="S27" s="1512" t="e">
        <f t="shared" si="12"/>
        <v>#N/A</v>
      </c>
      <c r="T27" s="1511" t="s">
        <v>8</v>
      </c>
      <c r="U27" s="1512" t="e">
        <f t="shared" si="13"/>
        <v>#N/A</v>
      </c>
      <c r="V27" s="1511" t="s">
        <v>8</v>
      </c>
      <c r="W27" s="1512" t="e">
        <f t="shared" si="14"/>
        <v>#N/A</v>
      </c>
      <c r="X27" s="1513"/>
      <c r="Y27" s="3488"/>
      <c r="Z27" s="1514" t="str">
        <f t="shared" si="15"/>
        <v>成新率</v>
      </c>
      <c r="AA27" s="1510" t="e">
        <f t="shared" si="3"/>
        <v>#N/A</v>
      </c>
      <c r="AB27" s="1510" t="e">
        <f t="shared" si="4"/>
        <v>#N/A</v>
      </c>
      <c r="AC27" s="1510"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88"/>
      <c r="Q28" s="1506" t="str">
        <f t="shared" si="11"/>
        <v>物业等级</v>
      </c>
      <c r="R28" s="1507" t="s">
        <v>8</v>
      </c>
      <c r="S28" s="1508">
        <f t="shared" si="12"/>
        <v>100</v>
      </c>
      <c r="T28" s="1507" t="s">
        <v>8</v>
      </c>
      <c r="U28" s="1508">
        <f t="shared" si="13"/>
        <v>100</v>
      </c>
      <c r="V28" s="1507" t="s">
        <v>8</v>
      </c>
      <c r="W28" s="1508">
        <f t="shared" si="14"/>
        <v>100</v>
      </c>
      <c r="X28" s="1501"/>
      <c r="Y28" s="3488"/>
      <c r="Z28" s="1509" t="str">
        <f t="shared" si="15"/>
        <v>物业等级</v>
      </c>
      <c r="AA28" s="1510">
        <f t="shared" si="3"/>
        <v>1</v>
      </c>
      <c r="AB28" s="1510">
        <f t="shared" si="4"/>
        <v>1</v>
      </c>
      <c r="AC28" s="1510">
        <f t="shared" si="5"/>
        <v>1</v>
      </c>
    </row>
    <row r="29" spans="1:29" ht="15">
      <c r="A29" s="588"/>
      <c r="B29" s="521" t="s">
        <v>815</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88"/>
      <c r="Q29" s="1506" t="str">
        <f t="shared" si="11"/>
        <v>有无电梯</v>
      </c>
      <c r="R29" s="1507" t="s">
        <v>8</v>
      </c>
      <c r="S29" s="1508">
        <f t="shared" si="12"/>
        <v>100</v>
      </c>
      <c r="T29" s="1507" t="s">
        <v>8</v>
      </c>
      <c r="U29" s="1508">
        <f t="shared" si="13"/>
        <v>100</v>
      </c>
      <c r="V29" s="1507" t="s">
        <v>8</v>
      </c>
      <c r="W29" s="1508">
        <f t="shared" si="14"/>
        <v>100</v>
      </c>
      <c r="X29" s="1501"/>
      <c r="Y29" s="3488"/>
      <c r="Z29" s="1509" t="str">
        <f t="shared" si="15"/>
        <v>有无电梯</v>
      </c>
      <c r="AA29" s="1510">
        <f t="shared" si="3"/>
        <v>1</v>
      </c>
      <c r="AB29" s="1510">
        <f t="shared" si="4"/>
        <v>1</v>
      </c>
      <c r="AC29" s="1510">
        <f t="shared" si="5"/>
        <v>1</v>
      </c>
    </row>
    <row r="30" spans="1:29" ht="15">
      <c r="A30" s="588"/>
      <c r="B30" s="521" t="s">
        <v>816</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88"/>
      <c r="Q30" s="1506" t="str">
        <f t="shared" si="11"/>
        <v>建筑面积</v>
      </c>
      <c r="R30" s="1507" t="s">
        <v>8</v>
      </c>
      <c r="S30" s="1508" t="e">
        <f t="shared" si="12"/>
        <v>#N/A</v>
      </c>
      <c r="T30" s="1507" t="s">
        <v>8</v>
      </c>
      <c r="U30" s="1508" t="e">
        <f t="shared" si="13"/>
        <v>#N/A</v>
      </c>
      <c r="V30" s="1507" t="s">
        <v>8</v>
      </c>
      <c r="W30" s="1508" t="e">
        <f t="shared" si="14"/>
        <v>#N/A</v>
      </c>
      <c r="X30" s="1501"/>
      <c r="Y30" s="3488"/>
      <c r="Z30" s="1509" t="str">
        <f t="shared" si="15"/>
        <v>建筑面积</v>
      </c>
      <c r="AA30" s="1510" t="e">
        <f t="shared" si="3"/>
        <v>#N/A</v>
      </c>
      <c r="AB30" s="1510" t="e">
        <f t="shared" si="4"/>
        <v>#N/A</v>
      </c>
      <c r="AC30" s="1510" t="e">
        <f t="shared" si="5"/>
        <v>#N/A</v>
      </c>
    </row>
    <row r="31" spans="1:29" s="1203" customFormat="1" ht="15">
      <c r="A31" s="594"/>
      <c r="B31" s="521" t="s">
        <v>817</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88"/>
      <c r="Q31" s="1134" t="str">
        <f t="shared" si="11"/>
        <v>是否封闭</v>
      </c>
      <c r="R31" s="1502" t="s">
        <v>8</v>
      </c>
      <c r="S31" s="1503">
        <f t="shared" si="12"/>
        <v>100</v>
      </c>
      <c r="T31" s="1502" t="s">
        <v>8</v>
      </c>
      <c r="U31" s="1503">
        <f t="shared" si="13"/>
        <v>100</v>
      </c>
      <c r="V31" s="1502" t="s">
        <v>8</v>
      </c>
      <c r="W31" s="1503">
        <f t="shared" si="14"/>
        <v>100</v>
      </c>
      <c r="X31" s="1504"/>
      <c r="Y31" s="3488"/>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88" t="s">
        <v>543</v>
      </c>
      <c r="Q32" s="1506">
        <f t="shared" si="11"/>
        <v>111</v>
      </c>
      <c r="R32" s="1507" t="s">
        <v>8</v>
      </c>
      <c r="S32" s="1508">
        <f t="shared" si="12"/>
        <v>100</v>
      </c>
      <c r="T32" s="1507" t="s">
        <v>8</v>
      </c>
      <c r="U32" s="1508">
        <f t="shared" si="13"/>
        <v>100</v>
      </c>
      <c r="V32" s="1507" t="s">
        <v>8</v>
      </c>
      <c r="W32" s="1508">
        <f t="shared" si="14"/>
        <v>100</v>
      </c>
      <c r="X32" s="1501"/>
      <c r="Y32" s="3488" t="s">
        <v>543</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88"/>
      <c r="Q33" s="1506">
        <f t="shared" si="11"/>
        <v>111</v>
      </c>
      <c r="R33" s="1507" t="s">
        <v>8</v>
      </c>
      <c r="S33" s="1508">
        <f t="shared" si="12"/>
        <v>100</v>
      </c>
      <c r="T33" s="1507" t="s">
        <v>8</v>
      </c>
      <c r="U33" s="1508">
        <f t="shared" si="13"/>
        <v>100</v>
      </c>
      <c r="V33" s="1507" t="s">
        <v>8</v>
      </c>
      <c r="W33" s="1508">
        <f t="shared" si="14"/>
        <v>100</v>
      </c>
      <c r="X33" s="1501"/>
      <c r="Y33" s="3488"/>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88"/>
      <c r="Q34" s="1506">
        <f t="shared" si="11"/>
        <v>111</v>
      </c>
      <c r="R34" s="1507" t="s">
        <v>8</v>
      </c>
      <c r="S34" s="1508">
        <f t="shared" si="12"/>
        <v>100</v>
      </c>
      <c r="T34" s="1507" t="s">
        <v>8</v>
      </c>
      <c r="U34" s="1508">
        <f t="shared" si="13"/>
        <v>100</v>
      </c>
      <c r="V34" s="1507" t="s">
        <v>8</v>
      </c>
      <c r="W34" s="1508">
        <f t="shared" si="14"/>
        <v>100</v>
      </c>
      <c r="X34" s="1501"/>
      <c r="Y34" s="3488"/>
      <c r="Z34" s="1509">
        <f t="shared" si="15"/>
        <v>111</v>
      </c>
      <c r="AA34" s="1510">
        <f t="shared" si="3"/>
        <v>1</v>
      </c>
      <c r="AB34" s="1510">
        <f t="shared" si="4"/>
        <v>1</v>
      </c>
      <c r="AC34" s="1510">
        <f t="shared" si="5"/>
        <v>1</v>
      </c>
    </row>
    <row r="35" spans="1:29" ht="15">
      <c r="A35" s="601" t="s">
        <v>729</v>
      </c>
      <c r="B35" s="876"/>
      <c r="C35" s="2470" t="s">
        <v>1</v>
      </c>
      <c r="D35" s="2471"/>
      <c r="E35" s="2472"/>
      <c r="F35" s="2473"/>
      <c r="G35" s="2474"/>
      <c r="H35" s="2475"/>
      <c r="I35" s="2472"/>
      <c r="J35" s="2475"/>
      <c r="K35" s="1540"/>
      <c r="L35" s="2026"/>
      <c r="M35" s="2027"/>
      <c r="N35" s="2016"/>
      <c r="O35" s="2027"/>
      <c r="P35" s="3483" t="str">
        <f>A35</f>
        <v>成交单价（元/平方米）</v>
      </c>
      <c r="Q35" s="3483"/>
      <c r="R35" s="3588">
        <f>E35</f>
        <v>0</v>
      </c>
      <c r="S35" s="3588"/>
      <c r="T35" s="3588">
        <f>G35</f>
        <v>0</v>
      </c>
      <c r="U35" s="3588"/>
      <c r="V35" s="3588">
        <f>I35</f>
        <v>0</v>
      </c>
      <c r="W35" s="3588"/>
      <c r="X35" s="1496"/>
      <c r="Y35" s="1515"/>
      <c r="Z35" s="1496"/>
      <c r="AA35" s="1496"/>
      <c r="AB35" s="1496"/>
      <c r="AC35" s="1496"/>
    </row>
    <row r="36" spans="1:29" ht="15.75" thickBot="1">
      <c r="A36" s="609" t="s">
        <v>2739</v>
      </c>
      <c r="B36" s="877"/>
      <c r="C36" s="2476" t="e">
        <f>R37</f>
        <v>#DIV/0!</v>
      </c>
      <c r="D36" s="3013" t="s">
        <v>2966</v>
      </c>
      <c r="E36" s="2477" t="e">
        <f>R36</f>
        <v>#DIV/0!</v>
      </c>
      <c r="F36" s="3014"/>
      <c r="G36" s="2476" t="e">
        <f>T36</f>
        <v>#DIV/0!</v>
      </c>
      <c r="H36" s="3014"/>
      <c r="I36" s="2477" t="e">
        <f>V36</f>
        <v>#DIV/0!</v>
      </c>
      <c r="J36" s="3014"/>
      <c r="K36" s="3022">
        <f>F36+H36+J36</f>
        <v>0</v>
      </c>
      <c r="L36" s="2026"/>
      <c r="M36" s="2027"/>
      <c r="N36" s="2016"/>
      <c r="O36" s="2027"/>
      <c r="P36" s="3483" t="str">
        <f>A36</f>
        <v>比较价格（元/平方米）</v>
      </c>
      <c r="Q36" s="3483"/>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04" t="str">
        <f>A37</f>
        <v>估价对象XX用房的比较价格（楼面单价，元/平方米）</v>
      </c>
      <c r="Q37" s="3505"/>
      <c r="R37" s="3587" t="e">
        <f>IF(F1="售价",ROUND(IF(D36="简单平均",AVERAGE(R36:W36),R36*F36+T36*H36+V36*J36),0),ROUND(IF(D36="简单平均",AVERAGE(R36:V36),R36*F36+T36*H36+V36*J36),1))</f>
        <v>#DIV/0!</v>
      </c>
      <c r="S37" s="3587"/>
      <c r="T37" s="3587"/>
      <c r="U37" s="3587"/>
      <c r="V37" s="3587"/>
      <c r="W37" s="3587"/>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3"/>
      <c r="B42" s="3213"/>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567</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522</v>
      </c>
      <c r="B46" s="638"/>
      <c r="C46" s="2519" t="str">
        <f>YEAR(C7)&amp;"-"&amp;MONTH(C7)</f>
        <v>2021-9</v>
      </c>
      <c r="D46" s="2521">
        <f>EDATE(C46,-1)</f>
        <v>44409</v>
      </c>
      <c r="E46" s="2521">
        <f t="shared" ref="E46:O46" si="16">EDATE(D46,-1)</f>
        <v>44378</v>
      </c>
      <c r="F46" s="2521">
        <f t="shared" si="16"/>
        <v>44348</v>
      </c>
      <c r="G46" s="2521">
        <f t="shared" si="16"/>
        <v>44317</v>
      </c>
      <c r="H46" s="2521">
        <f t="shared" si="16"/>
        <v>44287</v>
      </c>
      <c r="I46" s="2521">
        <f t="shared" si="16"/>
        <v>44256</v>
      </c>
      <c r="J46" s="2521">
        <f t="shared" si="16"/>
        <v>44228</v>
      </c>
      <c r="K46" s="2521">
        <f t="shared" si="16"/>
        <v>44197</v>
      </c>
      <c r="L46" s="2521">
        <f t="shared" si="16"/>
        <v>44166</v>
      </c>
      <c r="M46" s="2521">
        <f t="shared" si="16"/>
        <v>44136</v>
      </c>
      <c r="N46" s="2521">
        <f t="shared" si="16"/>
        <v>44105</v>
      </c>
      <c r="O46" s="2521">
        <f t="shared" si="16"/>
        <v>44075</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568</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524</v>
      </c>
      <c r="B49" s="640"/>
      <c r="C49" s="652" t="s">
        <v>569</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570</v>
      </c>
      <c r="B51" s="657" t="s">
        <v>527</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572</v>
      </c>
      <c r="D63" s="700" t="s">
        <v>573</v>
      </c>
      <c r="E63" s="700" t="s">
        <v>574</v>
      </c>
      <c r="F63" s="700" t="s">
        <v>575</v>
      </c>
      <c r="G63" s="700" t="s">
        <v>576</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737</v>
      </c>
      <c r="C67" s="700" t="s">
        <v>572</v>
      </c>
      <c r="D67" s="700" t="s">
        <v>573</v>
      </c>
      <c r="E67" s="700" t="s">
        <v>574</v>
      </c>
      <c r="F67" s="700" t="s">
        <v>575</v>
      </c>
      <c r="G67" s="700" t="s">
        <v>576</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544</v>
      </c>
      <c r="B77" s="657" t="s">
        <v>744</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810</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818</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819</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820</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W41" sqref="W41"/>
      <selection pane="bottomLeft" activeCell="W41" sqref="W41"/>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597" t="s">
        <v>2291</v>
      </c>
      <c r="D1" s="3598"/>
      <c r="E1" s="3598"/>
      <c r="F1" s="3598"/>
      <c r="G1" s="3598"/>
      <c r="H1" s="3598"/>
      <c r="I1" s="3598"/>
      <c r="J1" s="3598"/>
      <c r="K1" s="3598"/>
      <c r="L1" s="3598"/>
      <c r="M1" s="3598"/>
      <c r="N1" s="3598"/>
      <c r="O1" s="3598"/>
      <c r="P1" s="3598"/>
      <c r="Q1" s="3598"/>
      <c r="R1" s="3598"/>
      <c r="S1" s="3599"/>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2890</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2889</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2888</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2887</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821</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822</v>
      </c>
      <c r="B22" s="53">
        <f>SUM(B24:B10000)</f>
        <v>0</v>
      </c>
      <c r="C22" s="3594" t="s">
        <v>20</v>
      </c>
      <c r="D22" s="3595"/>
      <c r="E22" s="3595"/>
      <c r="F22" s="3595"/>
      <c r="G22" s="3595"/>
      <c r="H22" s="3595"/>
      <c r="I22" s="3595"/>
      <c r="J22" s="3595"/>
      <c r="K22" s="3595"/>
      <c r="L22" s="3595"/>
      <c r="M22" s="3595"/>
      <c r="N22" s="3595"/>
      <c r="O22" s="3595"/>
      <c r="P22" s="3595"/>
      <c r="Q22" s="3596"/>
      <c r="R22" s="484" t="e">
        <f>ROUND(S22*10000/B22,0)</f>
        <v>#DIV/0!</v>
      </c>
      <c r="S22" s="53">
        <f>SUM(S24:S10000)</f>
        <v>0</v>
      </c>
    </row>
    <row r="23" spans="1:45" s="1542" customFormat="1" ht="24">
      <c r="A23" s="17" t="s">
        <v>823</v>
      </c>
      <c r="B23" s="2860" t="s">
        <v>2909</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43" customFormat="1">
      <c r="A24" s="949" t="s">
        <v>827</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2766</v>
      </c>
      <c r="C1" s="2720">
        <f>项目基本情况!D3</f>
        <v>44448</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2797</v>
      </c>
      <c r="C2" s="2721">
        <f>'数据-取费表'!B22</f>
        <v>2</v>
      </c>
      <c r="D2" s="2716" t="s">
        <v>2767</v>
      </c>
      <c r="E2" s="2719">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2799</v>
      </c>
      <c r="C3" s="2718">
        <f>'数据-取费表'!B19</f>
        <v>0</v>
      </c>
      <c r="D3" s="2716" t="s">
        <v>2767</v>
      </c>
      <c r="E3" s="2719">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2798</v>
      </c>
      <c r="C4" s="2719">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2996</v>
      </c>
      <c r="C17" s="2709">
        <v>43697</v>
      </c>
      <c r="D17" s="3276">
        <v>4.25</v>
      </c>
      <c r="E17" s="3276">
        <v>4.25</v>
      </c>
      <c r="F17" s="3276">
        <v>4.25</v>
      </c>
      <c r="G17" s="3276">
        <v>4.25</v>
      </c>
      <c r="H17" s="3276">
        <v>4.8499999999999996</v>
      </c>
      <c r="I17" s="3276"/>
      <c r="J17" s="3276"/>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4" customFormat="1" ht="15">
      <c r="A18" s="3279"/>
      <c r="B18" s="3280"/>
      <c r="C18" s="3281">
        <v>42301</v>
      </c>
      <c r="D18" s="3282">
        <v>4.3499999999999996</v>
      </c>
      <c r="E18" s="3282">
        <v>4.3499999999999996</v>
      </c>
      <c r="F18" s="3282">
        <v>4.75</v>
      </c>
      <c r="G18" s="3282">
        <v>4.75</v>
      </c>
      <c r="H18" s="3282">
        <v>4.9000000000000004</v>
      </c>
      <c r="I18" s="3282"/>
      <c r="J18" s="3282"/>
      <c r="K18" s="2694"/>
      <c r="L18" s="3282"/>
      <c r="M18" s="3281">
        <v>41965</v>
      </c>
      <c r="N18" s="3282">
        <v>0.35</v>
      </c>
      <c r="O18" s="3282">
        <v>2.35</v>
      </c>
      <c r="P18" s="3282">
        <v>2.5499999999999998</v>
      </c>
      <c r="Q18" s="3282">
        <v>2.75</v>
      </c>
      <c r="R18" s="3282">
        <v>3.35</v>
      </c>
      <c r="S18" s="3282">
        <v>4</v>
      </c>
      <c r="T18" s="3282">
        <v>4.75</v>
      </c>
      <c r="U18" s="3283">
        <v>2.35</v>
      </c>
      <c r="V18" s="3283">
        <v>2.5499999999999998</v>
      </c>
      <c r="W18" s="3283">
        <v>2.75</v>
      </c>
      <c r="X18" s="3282"/>
      <c r="Y18" s="3283">
        <v>0.8</v>
      </c>
      <c r="Z18" s="3283">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2796</v>
      </c>
      <c r="J60" s="2707" t="s">
        <v>2796</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selection activeCell="H22" sqref="H22"/>
    </sheetView>
  </sheetViews>
  <sheetFormatPr defaultRowHeight="13.5"/>
  <cols>
    <col min="1" max="1" width="50.625" customWidth="1"/>
    <col min="3" max="3" width="30.5" customWidth="1"/>
  </cols>
  <sheetData>
    <row r="1" spans="1:17" s="2656" customFormat="1">
      <c r="A1" s="2656" t="s">
        <v>3004</v>
      </c>
      <c r="B1" s="2656" t="s">
        <v>3005</v>
      </c>
      <c r="C1" s="2656" t="s">
        <v>3006</v>
      </c>
      <c r="D1" s="2656" t="s">
        <v>3007</v>
      </c>
      <c r="E1" s="2656" t="s">
        <v>3008</v>
      </c>
      <c r="F1" s="2656" t="s">
        <v>2020</v>
      </c>
      <c r="G1" s="2656" t="s">
        <v>3009</v>
      </c>
      <c r="H1" s="2656" t="s">
        <v>3010</v>
      </c>
      <c r="I1" s="2656" t="s">
        <v>3011</v>
      </c>
      <c r="J1" s="2656" t="s">
        <v>3012</v>
      </c>
      <c r="K1" s="2656" t="s">
        <v>3013</v>
      </c>
      <c r="L1" s="2656" t="s">
        <v>3014</v>
      </c>
      <c r="M1" s="2656" t="s">
        <v>3015</v>
      </c>
      <c r="N1" s="2656" t="s">
        <v>3016</v>
      </c>
      <c r="O1" s="2656" t="s">
        <v>3017</v>
      </c>
      <c r="P1" s="2656" t="s">
        <v>3018</v>
      </c>
      <c r="Q1" s="2656" t="s">
        <v>3019</v>
      </c>
    </row>
    <row r="2" spans="1:17" s="2656" customFormat="1">
      <c r="A2" s="2656" t="s">
        <v>3020</v>
      </c>
      <c r="B2" s="2656" t="s">
        <v>1933</v>
      </c>
      <c r="C2" s="2656" t="s">
        <v>3021</v>
      </c>
      <c r="D2" s="2656">
        <v>85128.1</v>
      </c>
      <c r="E2" s="2656">
        <v>201473.8</v>
      </c>
      <c r="F2" s="2656" t="s">
        <v>3022</v>
      </c>
      <c r="G2" s="2656" t="s">
        <v>3023</v>
      </c>
      <c r="H2" s="2656" t="s">
        <v>3024</v>
      </c>
      <c r="I2" s="2656">
        <v>0</v>
      </c>
      <c r="J2" s="2656" t="s">
        <v>3025</v>
      </c>
      <c r="K2" s="2656" t="s">
        <v>3025</v>
      </c>
      <c r="L2" s="2656">
        <v>640000</v>
      </c>
      <c r="M2" s="2656">
        <v>790000</v>
      </c>
      <c r="N2" s="2656">
        <v>39211.050000000003</v>
      </c>
      <c r="O2" s="2656">
        <v>23.44</v>
      </c>
      <c r="P2" s="2656" t="s">
        <v>3026</v>
      </c>
      <c r="Q2" s="2656" t="s">
        <v>3027</v>
      </c>
    </row>
    <row r="3" spans="1:17" s="2656" customFormat="1">
      <c r="A3" s="2656" t="s">
        <v>3028</v>
      </c>
      <c r="B3" s="2656" t="s">
        <v>1933</v>
      </c>
      <c r="C3" s="2656" t="s">
        <v>3021</v>
      </c>
      <c r="D3" s="2656">
        <v>39577.68</v>
      </c>
      <c r="E3" s="2656">
        <v>75553</v>
      </c>
      <c r="F3" s="2656" t="s">
        <v>3029</v>
      </c>
      <c r="G3" s="2656" t="s">
        <v>3023</v>
      </c>
      <c r="H3" s="2656" t="s">
        <v>3030</v>
      </c>
      <c r="I3" s="2656">
        <v>0</v>
      </c>
      <c r="J3" s="2656" t="s">
        <v>3031</v>
      </c>
      <c r="K3" s="2656" t="s">
        <v>3031</v>
      </c>
      <c r="L3" s="2656">
        <v>273800</v>
      </c>
      <c r="M3" s="2656">
        <v>294000</v>
      </c>
      <c r="N3" s="2656">
        <v>38913.08</v>
      </c>
      <c r="O3" s="2656">
        <v>7.38</v>
      </c>
      <c r="P3" s="2656" t="s">
        <v>3032</v>
      </c>
      <c r="Q3" s="2656" t="s">
        <v>3027</v>
      </c>
    </row>
    <row r="4" spans="1:17" s="2656" customFormat="1">
      <c r="A4" s="2656" t="s">
        <v>3033</v>
      </c>
      <c r="B4" s="2656" t="s">
        <v>1933</v>
      </c>
      <c r="C4" s="2656" t="s">
        <v>3021</v>
      </c>
      <c r="D4" s="2656">
        <v>78681.47</v>
      </c>
      <c r="E4" s="2656">
        <v>188033.66</v>
      </c>
      <c r="F4" s="2656" t="s">
        <v>3034</v>
      </c>
      <c r="G4" s="2656" t="s">
        <v>3023</v>
      </c>
      <c r="H4" s="2656" t="s">
        <v>3035</v>
      </c>
      <c r="I4" s="2656">
        <v>0</v>
      </c>
      <c r="J4" s="2656" t="s">
        <v>3036</v>
      </c>
      <c r="K4" s="2656" t="s">
        <v>3036</v>
      </c>
      <c r="L4" s="2656">
        <v>500000</v>
      </c>
      <c r="M4" s="2656">
        <v>670000</v>
      </c>
      <c r="N4" s="2656">
        <v>35631.910000000003</v>
      </c>
      <c r="O4" s="2656">
        <v>34</v>
      </c>
      <c r="P4" s="2656" t="s">
        <v>3037</v>
      </c>
      <c r="Q4" s="2656" t="s">
        <v>3038</v>
      </c>
    </row>
    <row r="5" spans="1:17" s="2656" customFormat="1">
      <c r="A5" s="2656" t="s">
        <v>3039</v>
      </c>
      <c r="B5" s="2656" t="s">
        <v>1933</v>
      </c>
      <c r="C5" s="2656" t="s">
        <v>3021</v>
      </c>
      <c r="D5" s="2656">
        <v>56722.42</v>
      </c>
      <c r="E5" s="2656">
        <v>124449</v>
      </c>
      <c r="F5" s="2656" t="s">
        <v>3040</v>
      </c>
      <c r="G5" s="2656" t="s">
        <v>3023</v>
      </c>
      <c r="H5" s="2656" t="s">
        <v>3041</v>
      </c>
      <c r="I5" s="2656">
        <v>0</v>
      </c>
      <c r="J5" s="2656" t="s">
        <v>3042</v>
      </c>
      <c r="K5" s="2656" t="s">
        <v>3042</v>
      </c>
      <c r="L5" s="2656">
        <v>330000</v>
      </c>
      <c r="M5" s="2656">
        <v>443000</v>
      </c>
      <c r="N5" s="2656">
        <v>35596.910000000003</v>
      </c>
      <c r="O5" s="2656">
        <v>34.24</v>
      </c>
      <c r="P5" s="2656" t="s">
        <v>3043</v>
      </c>
      <c r="Q5" s="2656" t="s">
        <v>3038</v>
      </c>
    </row>
    <row r="6" spans="1:17" s="2656" customFormat="1">
      <c r="A6" s="2656" t="s">
        <v>3044</v>
      </c>
      <c r="B6" s="2656" t="s">
        <v>1933</v>
      </c>
      <c r="C6" s="2656" t="s">
        <v>3021</v>
      </c>
      <c r="D6" s="2656">
        <v>94973.86</v>
      </c>
      <c r="E6" s="2656">
        <v>192900</v>
      </c>
      <c r="F6" s="2656" t="s">
        <v>3045</v>
      </c>
      <c r="G6" s="2656" t="s">
        <v>3023</v>
      </c>
      <c r="H6" s="2656" t="s">
        <v>3046</v>
      </c>
      <c r="I6" s="2656" t="s">
        <v>3047</v>
      </c>
      <c r="J6" s="2656" t="s">
        <v>3048</v>
      </c>
      <c r="K6" s="2656" t="s">
        <v>3049</v>
      </c>
      <c r="L6" s="2656">
        <v>595000</v>
      </c>
      <c r="M6" s="2656">
        <v>625000</v>
      </c>
      <c r="N6" s="2656">
        <v>32400.2</v>
      </c>
      <c r="O6" s="2656">
        <v>5.04</v>
      </c>
      <c r="P6" s="2656" t="s">
        <v>3050</v>
      </c>
      <c r="Q6" s="2656" t="s">
        <v>3038</v>
      </c>
    </row>
    <row r="7" spans="1:17" s="2656" customFormat="1">
      <c r="A7" s="2656" t="s">
        <v>3051</v>
      </c>
      <c r="B7" s="2656" t="s">
        <v>1933</v>
      </c>
      <c r="C7" s="2656" t="s">
        <v>3021</v>
      </c>
      <c r="D7" s="2656">
        <v>39084.339999999997</v>
      </c>
      <c r="E7" s="2656">
        <v>59071</v>
      </c>
      <c r="F7" s="2656" t="s">
        <v>3052</v>
      </c>
      <c r="G7" s="2656" t="s">
        <v>3023</v>
      </c>
      <c r="H7" s="2656" t="s">
        <v>3053</v>
      </c>
      <c r="I7" s="2656">
        <v>0</v>
      </c>
      <c r="J7" s="2656" t="s">
        <v>3054</v>
      </c>
      <c r="K7" s="2656" t="s">
        <v>3054</v>
      </c>
      <c r="L7" s="2656">
        <v>132000</v>
      </c>
      <c r="M7" s="2656">
        <v>188000</v>
      </c>
      <c r="N7" s="2656">
        <v>31826.11</v>
      </c>
      <c r="O7" s="2656">
        <v>42.42</v>
      </c>
      <c r="P7" s="2656" t="s">
        <v>3055</v>
      </c>
      <c r="Q7" s="2656" t="s">
        <v>3027</v>
      </c>
    </row>
    <row r="8" spans="1:17" s="2656" customFormat="1">
      <c r="A8" s="2656" t="s">
        <v>3056</v>
      </c>
      <c r="B8" s="2656" t="s">
        <v>1933</v>
      </c>
      <c r="C8" s="2656" t="s">
        <v>3021</v>
      </c>
      <c r="D8" s="2656">
        <v>42541.4</v>
      </c>
      <c r="E8" s="2656">
        <v>108921.52</v>
      </c>
      <c r="F8" s="2656" t="s">
        <v>3057</v>
      </c>
      <c r="G8" s="2656" t="s">
        <v>3023</v>
      </c>
      <c r="H8" s="2656" t="s">
        <v>3053</v>
      </c>
      <c r="I8" s="2656">
        <v>0</v>
      </c>
      <c r="J8" s="2656" t="s">
        <v>3058</v>
      </c>
      <c r="K8" s="2656" t="s">
        <v>3058</v>
      </c>
      <c r="L8" s="2656">
        <v>292000</v>
      </c>
      <c r="M8" s="2656">
        <v>307000</v>
      </c>
      <c r="N8" s="2656">
        <v>28185.43</v>
      </c>
      <c r="O8" s="2656">
        <v>5.14</v>
      </c>
      <c r="P8" s="2656" t="s">
        <v>3059</v>
      </c>
      <c r="Q8" s="2656" t="s">
        <v>3038</v>
      </c>
    </row>
    <row r="9" spans="1:17" s="2656" customFormat="1">
      <c r="A9" s="2656" t="s">
        <v>3060</v>
      </c>
      <c r="B9" s="2656" t="s">
        <v>1933</v>
      </c>
      <c r="C9" s="2656" t="s">
        <v>3021</v>
      </c>
      <c r="D9" s="2656">
        <v>27525.64</v>
      </c>
      <c r="E9" s="2656">
        <v>50251</v>
      </c>
      <c r="F9" s="2656" t="s">
        <v>3061</v>
      </c>
      <c r="G9" s="2656" t="s">
        <v>3023</v>
      </c>
      <c r="H9" s="2656" t="s">
        <v>3024</v>
      </c>
      <c r="I9" s="2656">
        <v>0</v>
      </c>
      <c r="J9" s="2656" t="s">
        <v>3036</v>
      </c>
      <c r="K9" s="2656" t="s">
        <v>3036</v>
      </c>
      <c r="L9" s="2656">
        <v>90000</v>
      </c>
      <c r="M9" s="2656">
        <v>134800</v>
      </c>
      <c r="N9" s="2656">
        <v>26825.34</v>
      </c>
      <c r="O9" s="2656">
        <v>49.78</v>
      </c>
      <c r="P9" s="2656" t="s">
        <v>3062</v>
      </c>
      <c r="Q9" s="2656" t="s">
        <v>3063</v>
      </c>
    </row>
    <row r="10" spans="1:17" s="2656" customFormat="1">
      <c r="A10" s="2656" t="s">
        <v>3064</v>
      </c>
      <c r="B10" s="2656" t="s">
        <v>1933</v>
      </c>
      <c r="C10" s="2656" t="s">
        <v>3021</v>
      </c>
      <c r="D10" s="2656">
        <v>34940.019999999997</v>
      </c>
      <c r="E10" s="2656">
        <v>94338</v>
      </c>
      <c r="F10" s="2656">
        <v>2.7</v>
      </c>
      <c r="G10" s="2656" t="s">
        <v>3023</v>
      </c>
      <c r="H10" s="2656" t="s">
        <v>3065</v>
      </c>
      <c r="I10" s="2656">
        <v>0</v>
      </c>
      <c r="J10" s="2656" t="s">
        <v>3066</v>
      </c>
      <c r="K10" s="2656" t="s">
        <v>3066</v>
      </c>
      <c r="L10" s="2656">
        <v>210000</v>
      </c>
      <c r="M10" s="2656">
        <v>246000</v>
      </c>
      <c r="N10" s="2656">
        <v>26076.45</v>
      </c>
      <c r="O10" s="2656">
        <v>17.14</v>
      </c>
      <c r="P10" s="2656" t="s">
        <v>3067</v>
      </c>
      <c r="Q10" s="2656" t="s">
        <v>3063</v>
      </c>
    </row>
    <row r="11" spans="1:17" s="2656" customFormat="1">
      <c r="A11" s="2656" t="s">
        <v>3068</v>
      </c>
      <c r="B11" s="2656" t="s">
        <v>1933</v>
      </c>
      <c r="C11" s="2656" t="s">
        <v>3021</v>
      </c>
      <c r="D11" s="2656">
        <v>104979.3</v>
      </c>
      <c r="E11" s="2656">
        <v>177256.92</v>
      </c>
      <c r="F11" s="2656" t="s">
        <v>3069</v>
      </c>
      <c r="G11" s="2656" t="s">
        <v>3023</v>
      </c>
      <c r="H11" s="2656" t="s">
        <v>3070</v>
      </c>
      <c r="I11" s="2656" t="s">
        <v>3047</v>
      </c>
      <c r="J11" s="2656" t="s">
        <v>3048</v>
      </c>
      <c r="K11" s="2656" t="s">
        <v>3049</v>
      </c>
      <c r="L11" s="2656">
        <v>447000</v>
      </c>
      <c r="M11" s="2656">
        <v>451600</v>
      </c>
      <c r="N11" s="2656">
        <v>25477.13</v>
      </c>
      <c r="O11" s="2656">
        <v>1.03</v>
      </c>
      <c r="P11" s="2656" t="s">
        <v>3071</v>
      </c>
      <c r="Q11" s="2656" t="s">
        <v>3027</v>
      </c>
    </row>
    <row r="12" spans="1:17" s="2656" customFormat="1">
      <c r="A12" s="2656" t="s">
        <v>3072</v>
      </c>
      <c r="B12" s="2656" t="s">
        <v>1933</v>
      </c>
      <c r="C12" s="2656" t="s">
        <v>3021</v>
      </c>
      <c r="D12" s="2656">
        <v>79276.91</v>
      </c>
      <c r="E12" s="2656">
        <v>177023</v>
      </c>
      <c r="F12" s="2656" t="s">
        <v>3073</v>
      </c>
      <c r="G12" s="2656" t="s">
        <v>3023</v>
      </c>
      <c r="H12" s="2656" t="s">
        <v>3074</v>
      </c>
      <c r="I12" s="2656">
        <v>0</v>
      </c>
      <c r="J12" s="2656" t="s">
        <v>3066</v>
      </c>
      <c r="K12" s="2656" t="s">
        <v>3066</v>
      </c>
      <c r="L12" s="2656">
        <v>365000</v>
      </c>
      <c r="M12" s="2656">
        <v>444000</v>
      </c>
      <c r="N12" s="2656">
        <v>25081.49</v>
      </c>
      <c r="O12" s="2656">
        <v>21.64</v>
      </c>
      <c r="P12" s="2656" t="s">
        <v>3026</v>
      </c>
      <c r="Q12" s="2656" t="s">
        <v>3027</v>
      </c>
    </row>
    <row r="13" spans="1:17" s="2656" customFormat="1">
      <c r="A13" s="2656" t="s">
        <v>3075</v>
      </c>
      <c r="B13" s="2656" t="s">
        <v>1933</v>
      </c>
      <c r="C13" s="2656" t="s">
        <v>3021</v>
      </c>
      <c r="D13" s="2656">
        <v>115506.3</v>
      </c>
      <c r="E13" s="2656">
        <v>280243</v>
      </c>
      <c r="F13" s="2656">
        <v>2.4300000000000002</v>
      </c>
      <c r="G13" s="2656" t="s">
        <v>3023</v>
      </c>
      <c r="H13" s="2656" t="s">
        <v>3053</v>
      </c>
      <c r="I13" s="2656">
        <v>0</v>
      </c>
      <c r="J13" s="2656" t="s">
        <v>3076</v>
      </c>
      <c r="K13" s="2656" t="s">
        <v>3076</v>
      </c>
      <c r="L13" s="2656">
        <v>650000</v>
      </c>
      <c r="M13" s="2656">
        <v>666000</v>
      </c>
      <c r="N13" s="2656">
        <v>23765.09</v>
      </c>
      <c r="O13" s="2656">
        <v>2.46</v>
      </c>
      <c r="P13" s="2656" t="s">
        <v>3077</v>
      </c>
      <c r="Q13" s="2656" t="s">
        <v>3038</v>
      </c>
    </row>
    <row r="14" spans="1:17" s="2656" customFormat="1">
      <c r="A14" s="2656" t="s">
        <v>3078</v>
      </c>
      <c r="B14" s="2656" t="s">
        <v>1933</v>
      </c>
      <c r="C14" s="2656" t="s">
        <v>3021</v>
      </c>
      <c r="D14" s="2656">
        <v>44474.33</v>
      </c>
      <c r="E14" s="2656">
        <v>95931.32</v>
      </c>
      <c r="F14" s="2656" t="s">
        <v>3079</v>
      </c>
      <c r="G14" s="2656" t="s">
        <v>3023</v>
      </c>
      <c r="H14" s="2656" t="s">
        <v>3080</v>
      </c>
      <c r="I14" s="2656" t="s">
        <v>3047</v>
      </c>
      <c r="J14" s="2656" t="s">
        <v>3048</v>
      </c>
      <c r="K14" s="2656" t="s">
        <v>3081</v>
      </c>
      <c r="L14" s="2656">
        <v>179200</v>
      </c>
      <c r="M14" s="2656">
        <v>224000</v>
      </c>
      <c r="N14" s="2656">
        <v>23350.04</v>
      </c>
      <c r="O14" s="2656">
        <v>25</v>
      </c>
      <c r="P14" s="2656" t="s">
        <v>3082</v>
      </c>
      <c r="Q14" s="2656" t="s">
        <v>3063</v>
      </c>
    </row>
    <row r="15" spans="1:17" s="2656" customFormat="1">
      <c r="A15" s="2656" t="s">
        <v>3083</v>
      </c>
      <c r="B15" s="2656" t="s">
        <v>1933</v>
      </c>
      <c r="C15" s="2656" t="s">
        <v>3021</v>
      </c>
      <c r="D15" s="2656">
        <v>51248.95</v>
      </c>
      <c r="E15" s="2656">
        <v>78434</v>
      </c>
      <c r="F15" s="2656" t="s">
        <v>3084</v>
      </c>
      <c r="G15" s="2656" t="s">
        <v>3023</v>
      </c>
      <c r="H15" s="2656" t="s">
        <v>3085</v>
      </c>
      <c r="I15" s="2656">
        <v>0</v>
      </c>
      <c r="J15" s="2656" t="s">
        <v>3054</v>
      </c>
      <c r="K15" s="2656" t="s">
        <v>3054</v>
      </c>
      <c r="L15" s="2656">
        <v>153000</v>
      </c>
      <c r="M15" s="2656">
        <v>183000</v>
      </c>
      <c r="N15" s="2656">
        <v>23331.72</v>
      </c>
      <c r="O15" s="2656">
        <v>19.61</v>
      </c>
      <c r="P15" s="2656" t="s">
        <v>3086</v>
      </c>
      <c r="Q15" s="2656" t="s">
        <v>3027</v>
      </c>
    </row>
    <row r="16" spans="1:17" s="2656" customFormat="1">
      <c r="A16" s="2656" t="s">
        <v>3087</v>
      </c>
      <c r="B16" s="2656" t="s">
        <v>1933</v>
      </c>
      <c r="C16" s="2656" t="s">
        <v>3021</v>
      </c>
      <c r="D16" s="2656">
        <v>73240.63</v>
      </c>
      <c r="E16" s="2656">
        <v>153989</v>
      </c>
      <c r="F16" s="2656" t="s">
        <v>3088</v>
      </c>
      <c r="G16" s="2656" t="s">
        <v>3023</v>
      </c>
      <c r="H16" s="2656" t="s">
        <v>3053</v>
      </c>
      <c r="I16" s="2656">
        <v>0</v>
      </c>
      <c r="J16" s="2656" t="s">
        <v>3042</v>
      </c>
      <c r="K16" s="2656" t="s">
        <v>3042</v>
      </c>
      <c r="L16" s="2656">
        <v>332000</v>
      </c>
      <c r="M16" s="2656">
        <v>332000</v>
      </c>
      <c r="N16" s="2656">
        <v>21559.97</v>
      </c>
      <c r="O16" s="2656">
        <v>0</v>
      </c>
      <c r="P16" s="2656" t="s">
        <v>3089</v>
      </c>
      <c r="Q16" s="2656" t="s">
        <v>3027</v>
      </c>
    </row>
    <row r="17" spans="1:18" s="2656" customFormat="1">
      <c r="A17" s="2656" t="s">
        <v>3090</v>
      </c>
      <c r="B17" s="2656" t="s">
        <v>1933</v>
      </c>
      <c r="C17" s="2656" t="s">
        <v>3021</v>
      </c>
      <c r="D17" s="2656">
        <v>99023.27</v>
      </c>
      <c r="E17" s="2656">
        <v>220184.56</v>
      </c>
      <c r="F17" s="2656" t="s">
        <v>3091</v>
      </c>
      <c r="G17" s="2656" t="s">
        <v>3023</v>
      </c>
      <c r="H17" s="2656" t="s">
        <v>3024</v>
      </c>
      <c r="I17" s="2656">
        <v>0</v>
      </c>
      <c r="J17" s="2656" t="s">
        <v>3092</v>
      </c>
      <c r="K17" s="2656" t="s">
        <v>3092</v>
      </c>
      <c r="L17" s="2656">
        <v>380000</v>
      </c>
      <c r="M17" s="2656">
        <v>467000</v>
      </c>
      <c r="N17" s="2656">
        <v>21209.47</v>
      </c>
      <c r="O17" s="2656">
        <v>22.89</v>
      </c>
      <c r="P17" s="2656" t="s">
        <v>3093</v>
      </c>
      <c r="Q17" s="2656" t="s">
        <v>3027</v>
      </c>
    </row>
    <row r="18" spans="1:18" s="2656" customFormat="1">
      <c r="A18" s="2656" t="s">
        <v>3094</v>
      </c>
      <c r="B18" s="2656" t="s">
        <v>1933</v>
      </c>
      <c r="C18" s="2656" t="s">
        <v>3021</v>
      </c>
      <c r="D18" s="2656">
        <v>58822.99</v>
      </c>
      <c r="E18" s="2656">
        <v>97871</v>
      </c>
      <c r="F18" s="2656" t="s">
        <v>3095</v>
      </c>
      <c r="G18" s="2656" t="s">
        <v>3023</v>
      </c>
      <c r="H18" s="2656" t="s">
        <v>3053</v>
      </c>
      <c r="I18" s="2656">
        <v>0</v>
      </c>
      <c r="J18" s="2656" t="s">
        <v>3042</v>
      </c>
      <c r="K18" s="2656" t="s">
        <v>3042</v>
      </c>
      <c r="L18" s="2656">
        <v>181000</v>
      </c>
      <c r="M18" s="2656">
        <v>203000</v>
      </c>
      <c r="N18" s="2656">
        <v>20741.59</v>
      </c>
      <c r="O18" s="2656">
        <v>12.15</v>
      </c>
      <c r="P18" s="2656" t="s">
        <v>3096</v>
      </c>
      <c r="Q18" s="2656" t="s">
        <v>3097</v>
      </c>
    </row>
    <row r="19" spans="1:18" s="2656" customFormat="1">
      <c r="A19" s="2656" t="s">
        <v>3098</v>
      </c>
      <c r="B19" s="2656" t="s">
        <v>1933</v>
      </c>
      <c r="C19" s="2656" t="s">
        <v>3021</v>
      </c>
      <c r="D19" s="2656">
        <v>38598.46</v>
      </c>
      <c r="E19" s="2656">
        <v>82574</v>
      </c>
      <c r="F19" s="2656" t="s">
        <v>3099</v>
      </c>
      <c r="G19" s="2656" t="s">
        <v>3023</v>
      </c>
      <c r="H19" s="2656" t="s">
        <v>3100</v>
      </c>
      <c r="I19" s="2656" t="s">
        <v>3047</v>
      </c>
      <c r="J19" s="2656" t="s">
        <v>3048</v>
      </c>
      <c r="K19" s="2656" t="s">
        <v>3049</v>
      </c>
      <c r="L19" s="2656">
        <v>142000</v>
      </c>
      <c r="M19" s="2656">
        <v>163000</v>
      </c>
      <c r="N19" s="2656">
        <v>19739.86</v>
      </c>
      <c r="O19" s="2656">
        <v>14.79</v>
      </c>
      <c r="P19" s="2656" t="s">
        <v>3101</v>
      </c>
      <c r="Q19" s="2656" t="s">
        <v>3038</v>
      </c>
    </row>
    <row r="20" spans="1:18" s="2656" customFormat="1">
      <c r="A20" s="2656" t="s">
        <v>3102</v>
      </c>
      <c r="B20" s="2656" t="s">
        <v>1933</v>
      </c>
      <c r="C20" s="2656" t="s">
        <v>3021</v>
      </c>
      <c r="D20" s="2656">
        <v>88404.4</v>
      </c>
      <c r="E20" s="2656">
        <v>173209</v>
      </c>
      <c r="F20" s="2656" t="s">
        <v>3103</v>
      </c>
      <c r="G20" s="2656" t="s">
        <v>3023</v>
      </c>
      <c r="H20" s="2656" t="s">
        <v>3053</v>
      </c>
      <c r="I20" s="2656">
        <v>0</v>
      </c>
      <c r="J20" s="2656" t="s">
        <v>3104</v>
      </c>
      <c r="K20" s="2656" t="s">
        <v>3104</v>
      </c>
      <c r="L20" s="2656">
        <v>330000</v>
      </c>
      <c r="M20" s="2656">
        <v>330000</v>
      </c>
      <c r="N20" s="2656">
        <v>19052.13</v>
      </c>
      <c r="O20" s="2656">
        <v>0</v>
      </c>
      <c r="P20" s="2656" t="s">
        <v>3105</v>
      </c>
      <c r="Q20" s="2656" t="s">
        <v>3097</v>
      </c>
    </row>
    <row r="21" spans="1:18" s="2656" customFormat="1">
      <c r="A21" s="2656" t="s">
        <v>3106</v>
      </c>
      <c r="B21" s="2656" t="s">
        <v>1933</v>
      </c>
      <c r="C21" s="2656" t="s">
        <v>3021</v>
      </c>
      <c r="D21" s="2656">
        <v>63474.94</v>
      </c>
      <c r="E21" s="2656">
        <v>97252.05</v>
      </c>
      <c r="F21" s="2656" t="s">
        <v>3107</v>
      </c>
      <c r="G21" s="2656" t="s">
        <v>3023</v>
      </c>
      <c r="H21" s="2656" t="s">
        <v>3108</v>
      </c>
      <c r="I21" s="2656">
        <v>0</v>
      </c>
      <c r="J21" s="2656" t="s">
        <v>3109</v>
      </c>
      <c r="K21" s="2656" t="s">
        <v>3109</v>
      </c>
      <c r="L21" s="2656">
        <v>167300</v>
      </c>
      <c r="M21" s="2656">
        <v>182800</v>
      </c>
      <c r="N21" s="2656">
        <v>18796.52</v>
      </c>
      <c r="O21" s="2656">
        <v>9.26</v>
      </c>
      <c r="P21" s="2656" t="s">
        <v>3110</v>
      </c>
      <c r="Q21" s="2656" t="s">
        <v>3027</v>
      </c>
    </row>
    <row r="22" spans="1:18" s="3292" customFormat="1">
      <c r="A22" s="3292" t="s">
        <v>3111</v>
      </c>
      <c r="B22" s="3292" t="s">
        <v>1933</v>
      </c>
      <c r="C22" s="3292" t="s">
        <v>3112</v>
      </c>
      <c r="D22" s="3292">
        <v>51736.9</v>
      </c>
      <c r="E22" s="3292">
        <v>81600.05</v>
      </c>
      <c r="F22" s="3292" t="s">
        <v>3113</v>
      </c>
      <c r="G22" s="3292" t="s">
        <v>3023</v>
      </c>
      <c r="H22" s="3603" t="s">
        <v>3276</v>
      </c>
      <c r="I22" s="3292">
        <v>0</v>
      </c>
      <c r="J22" s="3292" t="s">
        <v>3115</v>
      </c>
      <c r="K22" s="3292" t="s">
        <v>3115</v>
      </c>
      <c r="L22" s="3292">
        <v>150000</v>
      </c>
      <c r="M22" s="3292">
        <v>150000</v>
      </c>
      <c r="N22" s="3292">
        <v>18382.34</v>
      </c>
      <c r="O22" s="3292">
        <v>0</v>
      </c>
      <c r="P22" s="3292" t="s">
        <v>3116</v>
      </c>
      <c r="Q22" s="3292" t="s">
        <v>3027</v>
      </c>
    </row>
    <row r="23" spans="1:18" s="2656" customFormat="1">
      <c r="A23" s="2656" t="s">
        <v>3117</v>
      </c>
      <c r="B23" s="2656" t="s">
        <v>1933</v>
      </c>
      <c r="C23" s="2656" t="s">
        <v>3021</v>
      </c>
      <c r="D23" s="2656">
        <v>108243.94</v>
      </c>
      <c r="E23" s="2656">
        <v>262360.75</v>
      </c>
      <c r="F23" s="2656" t="s">
        <v>3118</v>
      </c>
      <c r="G23" s="2656" t="s">
        <v>3023</v>
      </c>
      <c r="H23" s="2656" t="s">
        <v>3119</v>
      </c>
      <c r="I23" s="2656" t="s">
        <v>3047</v>
      </c>
      <c r="J23" s="2656" t="s">
        <v>3048</v>
      </c>
      <c r="K23" s="2656" t="s">
        <v>3048</v>
      </c>
      <c r="L23" s="2656">
        <v>452000</v>
      </c>
      <c r="M23" s="2656">
        <v>452000</v>
      </c>
      <c r="N23" s="2656">
        <v>17228.18</v>
      </c>
      <c r="O23" s="2656">
        <v>0</v>
      </c>
      <c r="P23" s="2656" t="s">
        <v>3120</v>
      </c>
      <c r="Q23" s="2656" t="s">
        <v>3038</v>
      </c>
    </row>
    <row r="24" spans="1:18" s="2656" customFormat="1">
      <c r="A24" s="2656" t="s">
        <v>3121</v>
      </c>
      <c r="B24" s="2656" t="s">
        <v>1933</v>
      </c>
      <c r="C24" s="2656" t="s">
        <v>3021</v>
      </c>
      <c r="D24" s="2656">
        <v>124063.23</v>
      </c>
      <c r="E24" s="2656">
        <v>240662.81</v>
      </c>
      <c r="F24" s="2656" t="s">
        <v>3122</v>
      </c>
      <c r="G24" s="2656" t="s">
        <v>3023</v>
      </c>
      <c r="H24" s="2656" t="s">
        <v>3123</v>
      </c>
      <c r="I24" s="2656" t="s">
        <v>3047</v>
      </c>
      <c r="J24" s="2656" t="s">
        <v>3048</v>
      </c>
      <c r="K24" s="2656" t="s">
        <v>3049</v>
      </c>
      <c r="L24" s="2656">
        <v>358000</v>
      </c>
      <c r="M24" s="2656">
        <v>411500</v>
      </c>
      <c r="N24" s="2656">
        <v>17098.61</v>
      </c>
      <c r="O24" s="2656">
        <v>14.94</v>
      </c>
      <c r="P24" s="2656" t="s">
        <v>3124</v>
      </c>
      <c r="Q24" s="2656" t="s">
        <v>3038</v>
      </c>
    </row>
    <row r="25" spans="1:18" s="2656" customFormat="1">
      <c r="A25" s="2656" t="s">
        <v>3125</v>
      </c>
      <c r="B25" s="2656" t="s">
        <v>1933</v>
      </c>
      <c r="C25" s="2656" t="s">
        <v>3021</v>
      </c>
      <c r="D25" s="2656">
        <v>76997.05</v>
      </c>
      <c r="E25" s="2656">
        <v>79371.899999999994</v>
      </c>
      <c r="F25" s="2656" t="s">
        <v>3126</v>
      </c>
      <c r="G25" s="2656" t="s">
        <v>3023</v>
      </c>
      <c r="H25" s="2656" t="s">
        <v>3127</v>
      </c>
      <c r="I25" s="2656">
        <v>0</v>
      </c>
      <c r="J25" s="2656" t="s">
        <v>3128</v>
      </c>
      <c r="K25" s="2656" t="s">
        <v>3128</v>
      </c>
      <c r="L25" s="2656">
        <v>98500</v>
      </c>
      <c r="M25" s="2656">
        <v>130000</v>
      </c>
      <c r="N25" s="2656">
        <v>16378.59</v>
      </c>
      <c r="O25" s="2656">
        <v>31.98</v>
      </c>
      <c r="P25" s="2656" t="s">
        <v>3129</v>
      </c>
      <c r="Q25" s="2656" t="s">
        <v>3097</v>
      </c>
    </row>
    <row r="26" spans="1:18" s="2656" customFormat="1">
      <c r="A26" s="2656" t="s">
        <v>3130</v>
      </c>
      <c r="B26" s="2656" t="s">
        <v>1933</v>
      </c>
      <c r="C26" s="2656" t="s">
        <v>3021</v>
      </c>
      <c r="D26" s="2656">
        <v>60622</v>
      </c>
      <c r="E26" s="2656">
        <v>157573</v>
      </c>
      <c r="F26" s="2656">
        <v>2.6</v>
      </c>
      <c r="G26" s="2656" t="s">
        <v>3023</v>
      </c>
      <c r="H26" s="2656" t="s">
        <v>3085</v>
      </c>
      <c r="I26" s="2656">
        <v>0</v>
      </c>
      <c r="J26" s="2656" t="s">
        <v>3131</v>
      </c>
      <c r="K26" s="2656" t="s">
        <v>3131</v>
      </c>
      <c r="L26" s="2656">
        <v>249600</v>
      </c>
      <c r="M26" s="2656">
        <v>253350</v>
      </c>
      <c r="N26" s="2656">
        <v>16078.26</v>
      </c>
      <c r="O26" s="2656">
        <v>1.5</v>
      </c>
      <c r="P26" s="2656" t="s">
        <v>3132</v>
      </c>
      <c r="Q26" s="2656" t="s">
        <v>3038</v>
      </c>
    </row>
    <row r="27" spans="1:18" s="2656" customFormat="1">
      <c r="A27" s="2656" t="s">
        <v>3133</v>
      </c>
      <c r="B27" s="2656" t="s">
        <v>1933</v>
      </c>
      <c r="C27" s="2656" t="s">
        <v>3021</v>
      </c>
      <c r="D27" s="2656">
        <v>37814.6</v>
      </c>
      <c r="E27" s="2656">
        <v>77172</v>
      </c>
      <c r="F27" s="2656" t="s">
        <v>3088</v>
      </c>
      <c r="G27" s="2656" t="s">
        <v>3023</v>
      </c>
      <c r="H27" s="2656" t="s">
        <v>3024</v>
      </c>
      <c r="I27" s="2656">
        <v>0</v>
      </c>
      <c r="J27" s="2656" t="s">
        <v>3134</v>
      </c>
      <c r="K27" s="2656" t="s">
        <v>3134</v>
      </c>
      <c r="L27" s="2656">
        <v>113100</v>
      </c>
      <c r="M27" s="2656">
        <v>124000</v>
      </c>
      <c r="N27" s="2656">
        <v>16068</v>
      </c>
      <c r="O27" s="2656">
        <v>9.64</v>
      </c>
      <c r="P27" s="2656" t="s">
        <v>3135</v>
      </c>
      <c r="Q27" s="2656" t="s">
        <v>3038</v>
      </c>
    </row>
    <row r="28" spans="1:18" s="2656" customFormat="1">
      <c r="A28" s="2656" t="s">
        <v>3136</v>
      </c>
      <c r="B28" s="2656" t="s">
        <v>1933</v>
      </c>
      <c r="C28" s="2656" t="s">
        <v>3137</v>
      </c>
      <c r="D28" s="2656">
        <v>40285.32</v>
      </c>
      <c r="E28" s="2656">
        <v>80571</v>
      </c>
      <c r="F28" s="2656" t="s">
        <v>3045</v>
      </c>
      <c r="G28" s="2656" t="s">
        <v>3023</v>
      </c>
      <c r="H28" s="2656" t="s">
        <v>3138</v>
      </c>
      <c r="I28" s="2656">
        <v>0</v>
      </c>
      <c r="J28" s="2656" t="s">
        <v>3139</v>
      </c>
      <c r="K28" s="2656" t="s">
        <v>3139</v>
      </c>
      <c r="L28" s="2656">
        <v>127302.19</v>
      </c>
      <c r="M28" s="2656">
        <v>127302.19</v>
      </c>
      <c r="N28" s="2656">
        <v>15800</v>
      </c>
      <c r="O28" s="2656">
        <v>0</v>
      </c>
      <c r="P28" s="2656" t="s">
        <v>3140</v>
      </c>
      <c r="Q28" s="2656" t="s">
        <v>3027</v>
      </c>
    </row>
    <row r="29" spans="1:18" s="2656" customFormat="1">
      <c r="A29" s="2656" t="s">
        <v>3141</v>
      </c>
      <c r="B29" s="2656" t="s">
        <v>1933</v>
      </c>
      <c r="C29" s="2656" t="s">
        <v>3137</v>
      </c>
      <c r="D29" s="2656">
        <v>72673.490000000005</v>
      </c>
      <c r="E29" s="2656">
        <v>159882</v>
      </c>
      <c r="F29" s="2656" t="s">
        <v>3142</v>
      </c>
      <c r="G29" s="2656" t="s">
        <v>3023</v>
      </c>
      <c r="H29" s="2656" t="s">
        <v>3138</v>
      </c>
      <c r="I29" s="2656">
        <v>0</v>
      </c>
      <c r="J29" s="2656" t="s">
        <v>3143</v>
      </c>
      <c r="K29" s="2656" t="s">
        <v>3143</v>
      </c>
      <c r="L29" s="2656">
        <v>252613.55</v>
      </c>
      <c r="M29" s="2656">
        <v>252613.55</v>
      </c>
      <c r="N29" s="2656">
        <v>15800</v>
      </c>
      <c r="O29" s="2656">
        <v>0</v>
      </c>
      <c r="P29" s="2656" t="s">
        <v>3144</v>
      </c>
      <c r="Q29" s="2656" t="s">
        <v>3027</v>
      </c>
    </row>
    <row r="30" spans="1:18" s="2656" customFormat="1">
      <c r="A30" s="2656" t="s">
        <v>3145</v>
      </c>
      <c r="B30" s="2656" t="s">
        <v>1933</v>
      </c>
      <c r="C30" s="2656" t="s">
        <v>3021</v>
      </c>
      <c r="D30" s="2656">
        <v>29550.2</v>
      </c>
      <c r="E30" s="2656">
        <v>54407</v>
      </c>
      <c r="F30" s="2656">
        <v>1.84</v>
      </c>
      <c r="G30" s="2656" t="s">
        <v>3023</v>
      </c>
      <c r="H30" s="2656" t="s">
        <v>3053</v>
      </c>
      <c r="I30" s="2656">
        <v>0</v>
      </c>
      <c r="J30" s="2656" t="s">
        <v>3076</v>
      </c>
      <c r="K30" s="2656" t="s">
        <v>3076</v>
      </c>
      <c r="L30" s="2656">
        <v>60300</v>
      </c>
      <c r="M30" s="2656">
        <v>84000</v>
      </c>
      <c r="N30" s="2656">
        <v>15439.19</v>
      </c>
      <c r="O30" s="2656">
        <v>39.299999999999997</v>
      </c>
      <c r="P30" s="2656" t="s">
        <v>3146</v>
      </c>
      <c r="Q30" s="2656" t="s">
        <v>3097</v>
      </c>
    </row>
    <row r="31" spans="1:18" s="3291" customFormat="1">
      <c r="A31" s="3291" t="s">
        <v>3147</v>
      </c>
      <c r="B31" s="3291" t="s">
        <v>1933</v>
      </c>
      <c r="C31" s="3291" t="s">
        <v>3137</v>
      </c>
      <c r="D31" s="3291">
        <v>17997.97</v>
      </c>
      <c r="E31" s="3291">
        <v>37795.699999999997</v>
      </c>
      <c r="F31" s="3291" t="s">
        <v>3148</v>
      </c>
      <c r="G31" s="3291" t="s">
        <v>3023</v>
      </c>
      <c r="H31" s="3291" t="s">
        <v>3114</v>
      </c>
      <c r="I31" s="3291">
        <v>0</v>
      </c>
      <c r="J31" s="3291" t="s">
        <v>3149</v>
      </c>
      <c r="K31" s="3291" t="s">
        <v>3149</v>
      </c>
      <c r="L31" s="3291">
        <v>53100</v>
      </c>
      <c r="M31" s="3291">
        <v>57600</v>
      </c>
      <c r="N31" s="3291">
        <v>15239.82</v>
      </c>
      <c r="O31" s="3291">
        <v>8.4700000000000006</v>
      </c>
      <c r="P31" s="3291" t="s">
        <v>3150</v>
      </c>
      <c r="Q31" s="3291" t="s">
        <v>3027</v>
      </c>
      <c r="R31" s="3291">
        <f>L31/E31*10000</f>
        <v>14049.217238998088</v>
      </c>
    </row>
    <row r="32" spans="1:18" s="2656" customFormat="1">
      <c r="A32" s="2656" t="s">
        <v>3151</v>
      </c>
      <c r="B32" s="2656" t="s">
        <v>1933</v>
      </c>
      <c r="C32" s="2656" t="s">
        <v>3021</v>
      </c>
      <c r="D32" s="2656">
        <v>41000.75</v>
      </c>
      <c r="E32" s="2656">
        <v>102502</v>
      </c>
      <c r="F32" s="2656" t="s">
        <v>3152</v>
      </c>
      <c r="G32" s="2656" t="s">
        <v>3023</v>
      </c>
      <c r="H32" s="2656" t="s">
        <v>3138</v>
      </c>
      <c r="I32" s="2656">
        <v>0</v>
      </c>
      <c r="J32" s="2656" t="s">
        <v>3153</v>
      </c>
      <c r="K32" s="2656" t="s">
        <v>3154</v>
      </c>
      <c r="L32" s="2656">
        <v>146578</v>
      </c>
      <c r="M32" s="2656">
        <v>146578</v>
      </c>
      <c r="N32" s="2656">
        <v>14300.01</v>
      </c>
      <c r="O32" s="2656">
        <v>0</v>
      </c>
      <c r="P32" s="2656" t="s">
        <v>3155</v>
      </c>
      <c r="Q32" s="2656" t="s">
        <v>3097</v>
      </c>
    </row>
    <row r="33" spans="1:17" s="2656" customFormat="1">
      <c r="A33" s="2656" t="s">
        <v>3156</v>
      </c>
      <c r="B33" s="2656" t="s">
        <v>1933</v>
      </c>
      <c r="C33" s="2656" t="s">
        <v>3021</v>
      </c>
      <c r="D33" s="2656">
        <v>47891.78</v>
      </c>
      <c r="E33" s="2656">
        <v>108059</v>
      </c>
      <c r="F33" s="2656" t="s">
        <v>3152</v>
      </c>
      <c r="G33" s="2656" t="s">
        <v>3023</v>
      </c>
      <c r="H33" s="2656" t="s">
        <v>3157</v>
      </c>
      <c r="I33" s="2656">
        <v>0</v>
      </c>
      <c r="J33" s="2656" t="s">
        <v>3158</v>
      </c>
      <c r="K33" s="2656" t="s">
        <v>3158</v>
      </c>
      <c r="L33" s="2656">
        <v>151283</v>
      </c>
      <c r="M33" s="2656">
        <v>151283</v>
      </c>
      <c r="N33" s="2656">
        <v>14000.04</v>
      </c>
      <c r="O33" s="2656">
        <v>0</v>
      </c>
      <c r="P33" s="2656" t="s">
        <v>3159</v>
      </c>
      <c r="Q33" s="2656" t="s">
        <v>3027</v>
      </c>
    </row>
    <row r="34" spans="1:17" s="2656" customFormat="1">
      <c r="A34" s="2656" t="s">
        <v>3160</v>
      </c>
      <c r="B34" s="2656" t="s">
        <v>1933</v>
      </c>
      <c r="C34" s="2656" t="s">
        <v>3021</v>
      </c>
      <c r="D34" s="2656">
        <v>62136.68</v>
      </c>
      <c r="E34" s="2656">
        <v>147241</v>
      </c>
      <c r="F34" s="2656" t="s">
        <v>3152</v>
      </c>
      <c r="G34" s="2656" t="s">
        <v>3023</v>
      </c>
      <c r="H34" s="2656" t="s">
        <v>3157</v>
      </c>
      <c r="I34" s="2656">
        <v>0</v>
      </c>
      <c r="J34" s="2656" t="s">
        <v>3161</v>
      </c>
      <c r="K34" s="2656" t="s">
        <v>3161</v>
      </c>
      <c r="L34" s="2656">
        <v>206138</v>
      </c>
      <c r="M34" s="2656">
        <v>206138</v>
      </c>
      <c r="N34" s="2656">
        <v>14000.04</v>
      </c>
      <c r="O34" s="2656">
        <v>0</v>
      </c>
      <c r="P34" s="2656" t="s">
        <v>3162</v>
      </c>
      <c r="Q34" s="2656" t="s">
        <v>3097</v>
      </c>
    </row>
    <row r="35" spans="1:17" s="2656" customFormat="1">
      <c r="A35" s="2656" t="s">
        <v>3163</v>
      </c>
      <c r="B35" s="2656" t="s">
        <v>1933</v>
      </c>
      <c r="C35" s="2656" t="s">
        <v>3112</v>
      </c>
      <c r="D35" s="2656">
        <v>28003.32</v>
      </c>
      <c r="E35" s="2656">
        <v>70008</v>
      </c>
      <c r="F35" s="2656" t="s">
        <v>3164</v>
      </c>
      <c r="G35" s="2656" t="s">
        <v>3023</v>
      </c>
      <c r="H35" s="2656" t="s">
        <v>3114</v>
      </c>
      <c r="I35" s="2656">
        <v>0</v>
      </c>
      <c r="J35" s="2656" t="s">
        <v>3165</v>
      </c>
      <c r="K35" s="2656" t="s">
        <v>3165</v>
      </c>
      <c r="L35" s="2656">
        <v>96800</v>
      </c>
      <c r="M35" s="2656">
        <v>97800</v>
      </c>
      <c r="N35" s="2656">
        <v>13969.82</v>
      </c>
      <c r="O35" s="2656">
        <v>1.03</v>
      </c>
      <c r="P35" s="2656" t="s">
        <v>3166</v>
      </c>
      <c r="Q35" s="2656" t="s">
        <v>3038</v>
      </c>
    </row>
    <row r="36" spans="1:17" s="3292" customFormat="1">
      <c r="A36" s="3292" t="s">
        <v>3167</v>
      </c>
      <c r="B36" s="3292" t="s">
        <v>1933</v>
      </c>
      <c r="C36" s="3292" t="s">
        <v>3021</v>
      </c>
      <c r="D36" s="3292">
        <v>56727.74</v>
      </c>
      <c r="E36" s="3292">
        <v>133882</v>
      </c>
      <c r="F36" s="3292" t="s">
        <v>3168</v>
      </c>
      <c r="G36" s="3292" t="s">
        <v>3023</v>
      </c>
      <c r="H36" s="3292" t="s">
        <v>3169</v>
      </c>
      <c r="I36" s="3292">
        <v>0</v>
      </c>
      <c r="J36" s="3292" t="s">
        <v>3170</v>
      </c>
      <c r="K36" s="3292" t="s">
        <v>3170</v>
      </c>
      <c r="L36" s="3292">
        <v>139000</v>
      </c>
      <c r="M36" s="3292">
        <v>185000</v>
      </c>
      <c r="N36" s="3292">
        <v>13818.13</v>
      </c>
      <c r="O36" s="3292">
        <v>33.090000000000003</v>
      </c>
      <c r="P36" s="3292" t="s">
        <v>3171</v>
      </c>
      <c r="Q36" s="3292" t="s">
        <v>3097</v>
      </c>
    </row>
    <row r="37" spans="1:17" s="2656" customFormat="1">
      <c r="A37" s="2656" t="s">
        <v>3172</v>
      </c>
      <c r="B37" s="2656" t="s">
        <v>1933</v>
      </c>
      <c r="C37" s="2656" t="s">
        <v>3021</v>
      </c>
      <c r="D37" s="2656">
        <v>43870.1</v>
      </c>
      <c r="E37" s="2656">
        <v>109675.25</v>
      </c>
      <c r="F37" s="2656" t="s">
        <v>3164</v>
      </c>
      <c r="G37" s="2656" t="s">
        <v>3023</v>
      </c>
      <c r="H37" s="2656" t="s">
        <v>3138</v>
      </c>
      <c r="I37" s="2656">
        <v>0</v>
      </c>
      <c r="J37" s="2656" t="s">
        <v>3173</v>
      </c>
      <c r="K37" s="2656" t="s">
        <v>3173</v>
      </c>
      <c r="L37" s="2656">
        <v>148061.57</v>
      </c>
      <c r="M37" s="2656">
        <v>148061.57</v>
      </c>
      <c r="N37" s="2656">
        <v>13500</v>
      </c>
      <c r="O37" s="2656">
        <v>0</v>
      </c>
      <c r="P37" s="2656" t="s">
        <v>3174</v>
      </c>
      <c r="Q37" s="2656" t="s">
        <v>3038</v>
      </c>
    </row>
    <row r="38" spans="1:17" s="2656" customFormat="1">
      <c r="A38" s="2656" t="s">
        <v>3175</v>
      </c>
      <c r="B38" s="2656" t="s">
        <v>1933</v>
      </c>
      <c r="C38" s="2656" t="s">
        <v>3021</v>
      </c>
      <c r="D38" s="2656">
        <v>54533</v>
      </c>
      <c r="E38" s="2656">
        <v>70556</v>
      </c>
      <c r="F38" s="2656">
        <v>1.29</v>
      </c>
      <c r="G38" s="2656" t="s">
        <v>3023</v>
      </c>
      <c r="H38" s="2656" t="s">
        <v>3176</v>
      </c>
      <c r="I38" s="2656">
        <v>0</v>
      </c>
      <c r="J38" s="2656" t="s">
        <v>3177</v>
      </c>
      <c r="K38" s="2656" t="s">
        <v>3177</v>
      </c>
      <c r="L38" s="2656">
        <v>92500</v>
      </c>
      <c r="M38" s="2656">
        <v>92500</v>
      </c>
      <c r="N38" s="2656">
        <v>13110.14</v>
      </c>
      <c r="O38" s="2656">
        <v>0</v>
      </c>
      <c r="P38" s="2656" t="s">
        <v>3178</v>
      </c>
      <c r="Q38" s="2656" t="s">
        <v>3179</v>
      </c>
    </row>
    <row r="39" spans="1:17" s="2656" customFormat="1">
      <c r="A39" s="2656" t="s">
        <v>3180</v>
      </c>
      <c r="B39" s="2656" t="s">
        <v>1933</v>
      </c>
      <c r="C39" s="2656" t="s">
        <v>3112</v>
      </c>
      <c r="D39" s="2656">
        <v>17147.95</v>
      </c>
      <c r="E39" s="2656">
        <v>53158.65</v>
      </c>
      <c r="F39" s="2656" t="s">
        <v>3181</v>
      </c>
      <c r="G39" s="2656" t="s">
        <v>3023</v>
      </c>
      <c r="H39" s="2656" t="s">
        <v>3182</v>
      </c>
      <c r="I39" s="2656">
        <v>0</v>
      </c>
      <c r="J39" s="2656" t="s">
        <v>3183</v>
      </c>
      <c r="K39" s="2656" t="s">
        <v>3183</v>
      </c>
      <c r="L39" s="2656">
        <v>69200</v>
      </c>
      <c r="M39" s="2656">
        <v>69200</v>
      </c>
      <c r="N39" s="2656">
        <v>13017.63</v>
      </c>
      <c r="O39" s="2656">
        <v>0</v>
      </c>
      <c r="P39" s="2656" t="s">
        <v>3184</v>
      </c>
      <c r="Q39" s="2656" t="s">
        <v>3038</v>
      </c>
    </row>
    <row r="40" spans="1:17" s="2656" customFormat="1">
      <c r="A40" s="2656" t="s">
        <v>3185</v>
      </c>
      <c r="B40" s="2656" t="s">
        <v>1933</v>
      </c>
      <c r="C40" s="2656" t="s">
        <v>3021</v>
      </c>
      <c r="D40" s="2656">
        <v>35805</v>
      </c>
      <c r="E40" s="2656">
        <v>71581</v>
      </c>
      <c r="F40" s="2656" t="s">
        <v>3186</v>
      </c>
      <c r="G40" s="2656" t="s">
        <v>3023</v>
      </c>
      <c r="H40" s="2656" t="s">
        <v>3053</v>
      </c>
      <c r="I40" s="2656">
        <v>0</v>
      </c>
      <c r="J40" s="2656" t="s">
        <v>3187</v>
      </c>
      <c r="K40" s="2656" t="s">
        <v>3187</v>
      </c>
      <c r="L40" s="2656">
        <v>77000</v>
      </c>
      <c r="M40" s="2656">
        <v>85000</v>
      </c>
      <c r="N40" s="2656">
        <v>11874.65</v>
      </c>
      <c r="O40" s="2656">
        <v>10.39</v>
      </c>
      <c r="P40" s="2656" t="s">
        <v>3188</v>
      </c>
      <c r="Q40" s="2656" t="s">
        <v>3027</v>
      </c>
    </row>
    <row r="41" spans="1:17" s="2656" customFormat="1">
      <c r="A41" s="2656" t="s">
        <v>3189</v>
      </c>
      <c r="B41" s="2656" t="s">
        <v>1933</v>
      </c>
      <c r="C41" s="2656" t="s">
        <v>3112</v>
      </c>
      <c r="D41" s="2656">
        <v>42276.47</v>
      </c>
      <c r="E41" s="2656">
        <v>84552.93</v>
      </c>
      <c r="F41" s="2656" t="s">
        <v>3190</v>
      </c>
      <c r="G41" s="2656" t="s">
        <v>3023</v>
      </c>
      <c r="H41" s="2656" t="s">
        <v>3191</v>
      </c>
      <c r="I41" s="2656">
        <v>0</v>
      </c>
      <c r="J41" s="2656" t="s">
        <v>3192</v>
      </c>
      <c r="K41" s="2656" t="s">
        <v>3192</v>
      </c>
      <c r="L41" s="2656">
        <v>95000</v>
      </c>
      <c r="M41" s="2656">
        <v>96500</v>
      </c>
      <c r="N41" s="2656">
        <v>11412.96</v>
      </c>
      <c r="O41" s="2656">
        <v>1.58</v>
      </c>
      <c r="P41" s="2656" t="s">
        <v>3193</v>
      </c>
      <c r="Q41" s="2656" t="s">
        <v>3027</v>
      </c>
    </row>
    <row r="42" spans="1:17" s="2656" customFormat="1">
      <c r="A42" s="2656" t="s">
        <v>3194</v>
      </c>
      <c r="B42" s="2656" t="s">
        <v>1933</v>
      </c>
      <c r="C42" s="2656" t="s">
        <v>3021</v>
      </c>
      <c r="D42" s="2656">
        <v>165793.17000000001</v>
      </c>
      <c r="E42" s="2656">
        <v>381104</v>
      </c>
      <c r="F42" s="2656" t="s">
        <v>3195</v>
      </c>
      <c r="G42" s="2656" t="s">
        <v>3023</v>
      </c>
      <c r="H42" s="2656" t="s">
        <v>3196</v>
      </c>
      <c r="I42" s="2656">
        <v>0</v>
      </c>
      <c r="J42" s="2656" t="s">
        <v>3197</v>
      </c>
      <c r="K42" s="2656" t="s">
        <v>3197</v>
      </c>
      <c r="L42" s="2656">
        <v>420000</v>
      </c>
      <c r="M42" s="2656">
        <v>420000</v>
      </c>
      <c r="N42" s="2656">
        <v>11020.61</v>
      </c>
      <c r="O42" s="2656">
        <v>0</v>
      </c>
      <c r="P42" s="2656" t="s">
        <v>3198</v>
      </c>
      <c r="Q42" s="2656" t="s">
        <v>3027</v>
      </c>
    </row>
    <row r="43" spans="1:17" s="3292" customFormat="1">
      <c r="A43" s="3292" t="s">
        <v>3199</v>
      </c>
      <c r="B43" s="3292" t="s">
        <v>1933</v>
      </c>
      <c r="C43" s="3292" t="s">
        <v>3112</v>
      </c>
      <c r="D43" s="3292">
        <v>265269.8</v>
      </c>
      <c r="E43" s="3292">
        <v>665975.69999999995</v>
      </c>
      <c r="F43" s="3292" t="s">
        <v>3200</v>
      </c>
      <c r="G43" s="3292" t="s">
        <v>3023</v>
      </c>
      <c r="H43" s="3292" t="s">
        <v>3114</v>
      </c>
      <c r="I43" s="3292">
        <v>0</v>
      </c>
      <c r="J43" s="3292" t="s">
        <v>3025</v>
      </c>
      <c r="K43" s="3292" t="s">
        <v>3025</v>
      </c>
      <c r="L43" s="3292">
        <v>699300</v>
      </c>
      <c r="M43" s="3292">
        <v>699300</v>
      </c>
      <c r="N43" s="3292">
        <v>10500.37</v>
      </c>
      <c r="O43" s="3292">
        <v>0</v>
      </c>
      <c r="P43" s="3292" t="s">
        <v>3201</v>
      </c>
      <c r="Q43" s="3292" t="s">
        <v>3038</v>
      </c>
    </row>
    <row r="44" spans="1:17" s="3292" customFormat="1">
      <c r="A44" s="3292" t="s">
        <v>3202</v>
      </c>
      <c r="B44" s="3292" t="s">
        <v>1933</v>
      </c>
      <c r="C44" s="3292" t="s">
        <v>3137</v>
      </c>
      <c r="D44" s="3292">
        <v>11396.2</v>
      </c>
      <c r="E44" s="3292">
        <v>34188.6</v>
      </c>
      <c r="F44" s="3292" t="s">
        <v>3203</v>
      </c>
      <c r="G44" s="3292" t="s">
        <v>3023</v>
      </c>
      <c r="H44" s="3292" t="s">
        <v>3114</v>
      </c>
      <c r="I44" s="3292">
        <v>0</v>
      </c>
      <c r="J44" s="3292" t="s">
        <v>3149</v>
      </c>
      <c r="K44" s="3292" t="s">
        <v>3149</v>
      </c>
      <c r="L44" s="3292">
        <v>35600</v>
      </c>
      <c r="M44" s="3292">
        <v>35600</v>
      </c>
      <c r="N44" s="3292">
        <v>10412.82</v>
      </c>
      <c r="O44" s="3292">
        <v>0</v>
      </c>
      <c r="P44" s="3292" t="s">
        <v>3204</v>
      </c>
      <c r="Q44" s="3292" t="s">
        <v>3027</v>
      </c>
    </row>
    <row r="45" spans="1:17" s="2656" customFormat="1">
      <c r="A45" s="2656" t="s">
        <v>3205</v>
      </c>
      <c r="B45" s="2656" t="s">
        <v>1933</v>
      </c>
      <c r="C45" s="2656" t="s">
        <v>3021</v>
      </c>
      <c r="D45" s="2656">
        <v>65453.36</v>
      </c>
      <c r="E45" s="2656">
        <v>148992</v>
      </c>
      <c r="F45" s="2656">
        <v>2.2799999999999998</v>
      </c>
      <c r="G45" s="2656" t="s">
        <v>3023</v>
      </c>
      <c r="H45" s="2656" t="s">
        <v>3108</v>
      </c>
      <c r="I45" s="2656">
        <v>0</v>
      </c>
      <c r="J45" s="2656" t="s">
        <v>3206</v>
      </c>
      <c r="K45" s="2656" t="s">
        <v>3206</v>
      </c>
      <c r="L45" s="2656">
        <v>143500</v>
      </c>
      <c r="M45" s="2656">
        <v>143500</v>
      </c>
      <c r="N45" s="2656">
        <v>9631.3799999999992</v>
      </c>
      <c r="O45" s="2656">
        <v>0</v>
      </c>
      <c r="P45" s="2656" t="s">
        <v>3207</v>
      </c>
      <c r="Q45" s="2656" t="s">
        <v>3097</v>
      </c>
    </row>
    <row r="46" spans="1:17" s="2656" customFormat="1">
      <c r="A46" s="2656" t="s">
        <v>3208</v>
      </c>
      <c r="B46" s="2656" t="s">
        <v>1933</v>
      </c>
      <c r="C46" s="2656" t="s">
        <v>3137</v>
      </c>
      <c r="D46" s="2656">
        <v>47891.57</v>
      </c>
      <c r="E46" s="2656">
        <v>105361.45</v>
      </c>
      <c r="F46" s="2656" t="s">
        <v>3142</v>
      </c>
      <c r="G46" s="2656" t="s">
        <v>3023</v>
      </c>
      <c r="H46" s="2656" t="s">
        <v>3138</v>
      </c>
      <c r="I46" s="2656">
        <v>0</v>
      </c>
      <c r="J46" s="2656" t="s">
        <v>3209</v>
      </c>
      <c r="K46" s="2656" t="s">
        <v>3210</v>
      </c>
      <c r="L46" s="2656">
        <v>91664.46</v>
      </c>
      <c r="M46" s="2656">
        <v>91664.46</v>
      </c>
      <c r="N46" s="2656">
        <v>8700</v>
      </c>
      <c r="O46" s="2656">
        <v>0</v>
      </c>
      <c r="P46" s="2656" t="s">
        <v>3211</v>
      </c>
      <c r="Q46" s="2656" t="s">
        <v>3212</v>
      </c>
    </row>
    <row r="47" spans="1:17" s="2656" customFormat="1">
      <c r="A47" s="2656" t="s">
        <v>3213</v>
      </c>
      <c r="B47" s="2656" t="s">
        <v>1933</v>
      </c>
      <c r="C47" s="2656" t="s">
        <v>3021</v>
      </c>
      <c r="D47" s="2656">
        <v>40514.839999999997</v>
      </c>
      <c r="E47" s="2656">
        <v>92680</v>
      </c>
      <c r="F47" s="2656" t="s">
        <v>3214</v>
      </c>
      <c r="G47" s="2656" t="s">
        <v>3215</v>
      </c>
      <c r="H47" s="2656" t="s">
        <v>3046</v>
      </c>
      <c r="I47" s="2656" t="s">
        <v>3047</v>
      </c>
      <c r="J47" s="2656" t="s">
        <v>3216</v>
      </c>
      <c r="K47" s="2656" t="s">
        <v>3216</v>
      </c>
      <c r="L47" s="2656" t="s">
        <v>2796</v>
      </c>
      <c r="M47" s="2656">
        <v>75000</v>
      </c>
      <c r="N47" s="2656">
        <v>8092.35</v>
      </c>
      <c r="O47" s="2656" t="s">
        <v>2796</v>
      </c>
      <c r="P47" s="2656" t="s">
        <v>3217</v>
      </c>
      <c r="Q47" s="2656" t="s">
        <v>3027</v>
      </c>
    </row>
    <row r="48" spans="1:17" s="2656" customFormat="1">
      <c r="A48" s="2656" t="s">
        <v>3218</v>
      </c>
      <c r="B48" s="2656" t="s">
        <v>1933</v>
      </c>
      <c r="C48" s="2656" t="s">
        <v>3112</v>
      </c>
      <c r="D48" s="2656">
        <v>25224.15</v>
      </c>
      <c r="E48" s="2656">
        <v>75672.45</v>
      </c>
      <c r="F48" s="2656" t="s">
        <v>3219</v>
      </c>
      <c r="G48" s="2656" t="s">
        <v>3023</v>
      </c>
      <c r="H48" s="2656" t="s">
        <v>3114</v>
      </c>
      <c r="I48" s="2656">
        <v>0</v>
      </c>
      <c r="J48" s="2656" t="s">
        <v>3220</v>
      </c>
      <c r="K48" s="2656" t="s">
        <v>3220</v>
      </c>
      <c r="L48" s="2656">
        <v>60800</v>
      </c>
      <c r="M48" s="2656">
        <v>60800</v>
      </c>
      <c r="N48" s="2656">
        <v>8034.63</v>
      </c>
      <c r="O48" s="2656">
        <v>0</v>
      </c>
      <c r="P48" s="2656" t="s">
        <v>3221</v>
      </c>
      <c r="Q48" s="2656" t="s">
        <v>3038</v>
      </c>
    </row>
    <row r="49" spans="1:17" s="2656" customFormat="1">
      <c r="A49" s="2656" t="s">
        <v>3222</v>
      </c>
      <c r="B49" s="2656" t="s">
        <v>1933</v>
      </c>
      <c r="C49" s="2656" t="s">
        <v>3112</v>
      </c>
      <c r="D49" s="2656">
        <v>22058.78</v>
      </c>
      <c r="E49" s="2656">
        <v>47390</v>
      </c>
      <c r="F49" s="2656" t="s">
        <v>3223</v>
      </c>
      <c r="G49" s="2656" t="s">
        <v>3023</v>
      </c>
      <c r="H49" s="2656" t="s">
        <v>3114</v>
      </c>
      <c r="I49" s="2656">
        <v>0</v>
      </c>
      <c r="J49" s="2656" t="s">
        <v>3224</v>
      </c>
      <c r="K49" s="2656" t="s">
        <v>3224</v>
      </c>
      <c r="L49" s="2656">
        <v>32700</v>
      </c>
      <c r="M49" s="2656">
        <v>32700</v>
      </c>
      <c r="N49" s="2656">
        <v>6900.18</v>
      </c>
      <c r="O49" s="2656">
        <v>0</v>
      </c>
      <c r="P49" s="2656" t="s">
        <v>3225</v>
      </c>
      <c r="Q49" s="2656" t="s">
        <v>3038</v>
      </c>
    </row>
    <row r="50" spans="1:17" s="2656" customFormat="1">
      <c r="A50" s="2656" t="s">
        <v>3226</v>
      </c>
      <c r="B50" s="2656" t="s">
        <v>1933</v>
      </c>
      <c r="C50" s="2656" t="s">
        <v>3137</v>
      </c>
      <c r="D50" s="2656">
        <v>194336.92</v>
      </c>
      <c r="E50" s="2656">
        <v>291505.37</v>
      </c>
      <c r="F50" s="2656" t="s">
        <v>3227</v>
      </c>
      <c r="G50" s="2656" t="s">
        <v>3023</v>
      </c>
      <c r="H50" s="2656" t="s">
        <v>3228</v>
      </c>
      <c r="I50" s="2656">
        <v>0</v>
      </c>
      <c r="J50" s="2656" t="s">
        <v>3081</v>
      </c>
      <c r="K50" s="2656" t="s">
        <v>3081</v>
      </c>
      <c r="L50" s="2656">
        <v>31978.13</v>
      </c>
      <c r="M50" s="2656">
        <v>31978.13</v>
      </c>
      <c r="N50" s="2656">
        <v>1097</v>
      </c>
      <c r="O50" s="2656">
        <v>0</v>
      </c>
      <c r="P50" s="2656" t="s">
        <v>3229</v>
      </c>
      <c r="Q50" s="2656" t="s">
        <v>3212</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2026</v>
      </c>
      <c r="B1" s="3298"/>
      <c r="C1" s="3298"/>
      <c r="D1" s="3298"/>
      <c r="E1" s="3298"/>
      <c r="F1" s="3298"/>
      <c r="G1" s="3298"/>
      <c r="H1" s="3298"/>
      <c r="I1" s="3298"/>
      <c r="J1" s="3298"/>
      <c r="K1" s="3298"/>
      <c r="L1" s="3298"/>
      <c r="M1" s="3298"/>
      <c r="N1" s="3298"/>
      <c r="O1" s="3298"/>
      <c r="P1" s="3298"/>
      <c r="Q1" s="3298"/>
      <c r="R1" s="3298"/>
    </row>
    <row r="2" spans="1:18">
      <c r="A2" s="1722" t="s">
        <v>2028</v>
      </c>
      <c r="B2" s="1722"/>
      <c r="C2" s="1722"/>
      <c r="D2" s="1722"/>
      <c r="E2" s="1722"/>
      <c r="F2" s="1722"/>
      <c r="G2" s="1722"/>
      <c r="H2" s="1722"/>
      <c r="I2" s="1723"/>
      <c r="J2" s="1723"/>
      <c r="K2" s="1724" t="str">
        <f>"估价期日："&amp;TEXT(项目基本情况!D3,"yyyy年m月d日;;")</f>
        <v>估价期日：2021年9月9日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9" t="s">
        <v>2017</v>
      </c>
      <c r="B3" s="3299" t="s">
        <v>2710</v>
      </c>
      <c r="C3" s="3300" t="s">
        <v>2018</v>
      </c>
      <c r="D3" s="3299" t="s">
        <v>2714</v>
      </c>
      <c r="E3" s="3302" t="s">
        <v>2019</v>
      </c>
      <c r="F3" s="3302"/>
      <c r="G3" s="3302"/>
      <c r="H3" s="3302" t="s">
        <v>2020</v>
      </c>
      <c r="I3" s="3302"/>
      <c r="J3" s="3302"/>
      <c r="K3" s="3300" t="s">
        <v>2021</v>
      </c>
      <c r="L3" s="3300" t="s">
        <v>2022</v>
      </c>
      <c r="M3" s="3299" t="s">
        <v>2711</v>
      </c>
      <c r="N3" s="3301" t="str">
        <f>"（分摊）"&amp;项目基本情况!B16&amp;"国有建设用地使用权面积/㎡"</f>
        <v>（分摊）出让国有建设用地使用权面积/㎡</v>
      </c>
      <c r="O3" s="3299" t="s">
        <v>2051</v>
      </c>
      <c r="P3" s="3300" t="s">
        <v>2031</v>
      </c>
      <c r="Q3" s="3300" t="s">
        <v>2052</v>
      </c>
      <c r="R3" s="3300" t="s">
        <v>2023</v>
      </c>
    </row>
    <row r="4" spans="1:18" ht="36.75" customHeight="1">
      <c r="A4" s="3299"/>
      <c r="B4" s="3299"/>
      <c r="C4" s="3300"/>
      <c r="D4" s="3299"/>
      <c r="E4" s="2491" t="s">
        <v>2030</v>
      </c>
      <c r="F4" s="2491" t="s">
        <v>2723</v>
      </c>
      <c r="G4" s="2491" t="s">
        <v>2024</v>
      </c>
      <c r="H4" s="2491" t="s">
        <v>2025</v>
      </c>
      <c r="I4" s="2491" t="s">
        <v>2724</v>
      </c>
      <c r="J4" s="2491" t="s">
        <v>2024</v>
      </c>
      <c r="K4" s="3300"/>
      <c r="L4" s="3300"/>
      <c r="M4" s="3299"/>
      <c r="N4" s="3301"/>
      <c r="O4" s="3299"/>
      <c r="P4" s="3300"/>
      <c r="Q4" s="3300"/>
      <c r="R4" s="3300"/>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17997.97</v>
      </c>
      <c r="O5" s="1725">
        <f>项目基本情况!C21</f>
        <v>68200</v>
      </c>
      <c r="P5" s="1725">
        <f ca="1">结果表!E42</f>
        <v>28075</v>
      </c>
      <c r="Q5" s="1725">
        <f ca="1">结果表!D42</f>
        <v>7409</v>
      </c>
      <c r="R5" s="1726">
        <f ca="1">结果表!C42</f>
        <v>50529</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27">
        <f ca="1">结果表!O39</f>
        <v>50529</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7" t="str">
        <f>结果表!O40</f>
        <v>——</v>
      </c>
    </row>
    <row r="8" spans="1:18">
      <c r="A8" s="3295">
        <f>IF(项目基本情况!B9="市场价格","——",项目基本情况!E9)</f>
        <v>0</v>
      </c>
      <c r="B8" s="3296"/>
      <c r="C8" s="3296"/>
      <c r="D8" s="3296"/>
      <c r="E8" s="3296"/>
      <c r="F8" s="3296"/>
      <c r="G8" s="3296"/>
      <c r="H8" s="3296"/>
      <c r="I8" s="3296"/>
      <c r="J8" s="3296"/>
      <c r="K8" s="3296"/>
      <c r="L8" s="3296"/>
      <c r="M8" s="3296"/>
      <c r="N8" s="3296"/>
      <c r="O8" s="3296"/>
      <c r="P8" s="3296"/>
      <c r="Q8" s="3297"/>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3" t="s">
        <v>2053</v>
      </c>
      <c r="B1" s="3303"/>
      <c r="C1" s="3303"/>
      <c r="D1" s="3303"/>
    </row>
    <row r="2" spans="1:4" ht="47.25" customHeight="1">
      <c r="A2" s="3307" t="str">
        <f>"1.权利限制："&amp;项目基本情况!L24&amp;"未设定租赁等其他他项权利。"</f>
        <v>1.权利限制：根据估价对象《不动产权证书》原件、《国有土地使用权》复印件，截至估价期日，估价对象抵押权未见登记。未设定租赁等其他他项权利。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6" t="s">
        <v>2054</v>
      </c>
      <c r="B5" s="3306"/>
      <c r="C5" s="3306"/>
      <c r="D5" s="3306"/>
    </row>
    <row r="6" spans="1:4">
      <c r="A6" s="3303" t="s">
        <v>2032</v>
      </c>
      <c r="B6" s="3303"/>
      <c r="C6" s="3303"/>
      <c r="D6" s="3303"/>
    </row>
    <row r="7" spans="1:4" ht="33" customHeight="1">
      <c r="A7" s="3303" t="s">
        <v>2554</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6" t="s">
        <v>2056</v>
      </c>
      <c r="B12" s="3306"/>
      <c r="C12" s="3306"/>
      <c r="D12" s="3306"/>
    </row>
    <row r="13" spans="1:4">
      <c r="A13" s="3304" t="s">
        <v>2725</v>
      </c>
      <c r="B13" s="3304"/>
      <c r="C13" s="3304"/>
      <c r="D13" s="3304"/>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2681</v>
      </c>
      <c r="B17" s="3303"/>
      <c r="C17" s="3303"/>
      <c r="D17" s="3303"/>
    </row>
    <row r="18" spans="1:4">
      <c r="A18" s="3303" t="s">
        <v>2673</v>
      </c>
      <c r="B18" s="3303"/>
      <c r="C18" s="3303"/>
      <c r="D18" s="3303"/>
    </row>
    <row r="19" spans="1:4">
      <c r="A19" s="2585" t="s">
        <v>2674</v>
      </c>
      <c r="B19" s="2585" t="s">
        <v>2675</v>
      </c>
      <c r="C19" s="2585" t="s">
        <v>2676</v>
      </c>
      <c r="D19" s="2585" t="s">
        <v>2677</v>
      </c>
    </row>
    <row r="20" spans="1:4">
      <c r="A20" s="2585" t="str">
        <f>项目基本情况!B4</f>
        <v>崔锴</v>
      </c>
      <c r="B20" s="2585">
        <f ca="1">项目基本情况!C4</f>
        <v>2010110070</v>
      </c>
      <c r="C20" s="2587"/>
      <c r="D20" s="1715" t="s">
        <v>2682</v>
      </c>
    </row>
    <row r="21" spans="1:4">
      <c r="A21" s="2585" t="str">
        <f>项目基本情况!D4</f>
        <v>郑燚</v>
      </c>
      <c r="B21" s="2585">
        <f ca="1">项目基本情况!E4</f>
        <v>2014110011</v>
      </c>
      <c r="C21" s="2587"/>
      <c r="D21" s="1715" t="s">
        <v>2683</v>
      </c>
    </row>
    <row r="23" spans="1:4">
      <c r="A23" s="3303" t="s">
        <v>2678</v>
      </c>
      <c r="B23" s="3303"/>
      <c r="C23" s="3303"/>
      <c r="D23" s="3303"/>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15" t="s">
        <v>53</v>
      </c>
      <c r="B15" s="3316" t="s">
        <v>837</v>
      </c>
      <c r="C15" s="3312"/>
    </row>
    <row r="16" spans="1:7" ht="14.25">
      <c r="A16" s="3315"/>
      <c r="B16" s="3313" t="s">
        <v>54</v>
      </c>
      <c r="C16" s="1155" t="s">
        <v>53</v>
      </c>
    </row>
    <row r="17" spans="1:3" ht="14.25">
      <c r="A17" s="3315"/>
      <c r="B17" s="3313"/>
      <c r="C17" s="1155" t="s">
        <v>55</v>
      </c>
    </row>
    <row r="18" spans="1:3" ht="14.25">
      <c r="A18" s="3315"/>
      <c r="B18" s="3313"/>
      <c r="C18" s="1155" t="s">
        <v>56</v>
      </c>
    </row>
    <row r="19" spans="1:3" ht="14.25">
      <c r="A19" s="3315"/>
      <c r="B19" s="3311" t="s">
        <v>57</v>
      </c>
      <c r="C19" s="3312"/>
    </row>
    <row r="20" spans="1:3" ht="14.25">
      <c r="A20" s="1156" t="s">
        <v>58</v>
      </c>
      <c r="B20" s="1157"/>
      <c r="C20" s="1158"/>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59" t="s">
        <v>828</v>
      </c>
    </row>
    <row r="25" spans="1:3" ht="14.25">
      <c r="A25" s="3314"/>
      <c r="B25" s="3318"/>
      <c r="C25" s="1159" t="s">
        <v>829</v>
      </c>
    </row>
    <row r="26" spans="1:3" ht="14.25">
      <c r="A26" s="3314"/>
      <c r="B26" s="3318"/>
      <c r="C26" s="1159" t="s">
        <v>830</v>
      </c>
    </row>
    <row r="27" spans="1:3" ht="14.25">
      <c r="A27" s="3314"/>
      <c r="B27" s="3318"/>
      <c r="C27" s="1159" t="s">
        <v>831</v>
      </c>
    </row>
    <row r="28" spans="1:3" ht="14.25">
      <c r="A28" s="3314"/>
      <c r="B28" s="3318"/>
      <c r="C28" s="1159" t="s">
        <v>832</v>
      </c>
    </row>
    <row r="29" spans="1:3" ht="14.25">
      <c r="A29" s="3314"/>
      <c r="B29" s="3318"/>
      <c r="C29" s="1159" t="s">
        <v>833</v>
      </c>
    </row>
    <row r="30" spans="1:3" ht="14.25">
      <c r="A30" s="3314"/>
      <c r="B30" s="3318"/>
      <c r="C30" s="1159" t="s">
        <v>834</v>
      </c>
    </row>
    <row r="31" spans="1:3" ht="14.25">
      <c r="A31" s="3314"/>
      <c r="B31" s="3318"/>
      <c r="C31" s="1159" t="s">
        <v>835</v>
      </c>
    </row>
    <row r="32" spans="1:3" ht="14.25">
      <c r="A32" s="3314"/>
      <c r="B32" s="3318"/>
      <c r="C32" s="1159" t="s">
        <v>1636</v>
      </c>
    </row>
    <row r="33" spans="1:3" ht="14.25">
      <c r="A33" s="3314"/>
      <c r="B33" s="3308" t="s">
        <v>1642</v>
      </c>
      <c r="C33" s="1159" t="s">
        <v>1637</v>
      </c>
    </row>
    <row r="34" spans="1:3" ht="14.25">
      <c r="A34" s="3314"/>
      <c r="B34" s="3309"/>
      <c r="C34" s="1164" t="s">
        <v>1638</v>
      </c>
    </row>
    <row r="35" spans="1:3" ht="14.25">
      <c r="A35" s="3314"/>
      <c r="B35" s="3309"/>
      <c r="C35" s="1165" t="s">
        <v>1639</v>
      </c>
    </row>
    <row r="36" spans="1:3" ht="14.25">
      <c r="A36" s="3314"/>
      <c r="B36" s="3309"/>
      <c r="C36" s="1165" t="s">
        <v>1640</v>
      </c>
    </row>
    <row r="37" spans="1:3" ht="14.25">
      <c r="A37" s="3314"/>
      <c r="B37" s="3310"/>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44453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t="str">
        <f ca="1">IF(C6&lt;B2,"已过期",1120050019)</f>
        <v>已过期</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2939</v>
      </c>
      <c r="B12" s="3029">
        <f ca="1">IF(C12&lt;B2,"已过期",1120040230)</f>
        <v>1120040230</v>
      </c>
      <c r="C12" s="3032">
        <v>44864</v>
      </c>
      <c r="D12" s="3040" t="s">
        <v>2940</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t="str">
        <f ca="1">IF(C14&lt;B2,"已过期",1120020033)</f>
        <v>已过期</v>
      </c>
      <c r="C14" s="3032">
        <v>44339</v>
      </c>
      <c r="D14" s="3040" t="s">
        <v>1913</v>
      </c>
      <c r="E14" s="3029">
        <f ca="1">IF(F14&lt;B2,"已过期",2000110137)</f>
        <v>2000110137</v>
      </c>
      <c r="F14" s="3031">
        <v>46387</v>
      </c>
      <c r="G14" s="3024"/>
    </row>
    <row r="15" spans="1:7" ht="20.25" customHeight="1">
      <c r="A15" s="3029" t="s">
        <v>2954</v>
      </c>
      <c r="B15" s="3029" t="str">
        <f ca="1">IF(C14&lt;B2,"已过期",1119980106)</f>
        <v>已过期</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22" t="s">
        <v>1914</v>
      </c>
      <c r="B17" s="3323"/>
      <c r="C17" s="3323"/>
      <c r="D17" s="3323"/>
      <c r="E17" s="3323"/>
      <c r="F17" s="3323"/>
      <c r="G17" s="3033"/>
    </row>
    <row r="18" spans="1:7" ht="20.25" customHeight="1">
      <c r="A18" s="3319" t="s">
        <v>1915</v>
      </c>
      <c r="B18" s="3319"/>
      <c r="C18" s="3320"/>
      <c r="D18" s="3321" t="s">
        <v>1916</v>
      </c>
      <c r="E18" s="3319"/>
      <c r="F18" s="3319"/>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2953</v>
      </c>
      <c r="F21" s="3037">
        <v>44012</v>
      </c>
      <c r="G21" s="3025"/>
    </row>
    <row r="22" spans="1:7" ht="20.25" customHeight="1">
      <c r="A22" s="3024"/>
      <c r="B22" s="3024"/>
      <c r="C22" s="3038"/>
      <c r="D22" s="3046"/>
      <c r="E22" s="3047"/>
      <c r="F22" s="3039" t="s">
        <v>2967</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5" priority="149">
      <formula>AND($C5-TODAY()&lt;30,TODAY()&lt;$C5)</formula>
    </cfRule>
  </conditionalFormatting>
  <conditionalFormatting sqref="C20">
    <cfRule type="expression" dxfId="244" priority="148">
      <formula>AND($C20-TODAY()&lt;30,TODAY()&lt;$C20)</formula>
    </cfRule>
  </conditionalFormatting>
  <conditionalFormatting sqref="C20 F4 C5 C13">
    <cfRule type="cellIs" dxfId="243" priority="150" stopIfTrue="1" operator="lessThan">
      <formula>$B$2</formula>
    </cfRule>
  </conditionalFormatting>
  <conditionalFormatting sqref="F5 F7 F9">
    <cfRule type="cellIs" dxfId="242" priority="144" stopIfTrue="1" operator="lessThan">
      <formula>$B$2</formula>
    </cfRule>
  </conditionalFormatting>
  <conditionalFormatting sqref="C16:D16">
    <cfRule type="expression" dxfId="241" priority="142">
      <formula>AND($C16-TODAY()&lt;30,TODAY()&lt;$C16)</formula>
    </cfRule>
  </conditionalFormatting>
  <conditionalFormatting sqref="F6 F8 F10 C16:D16">
    <cfRule type="cellIs" dxfId="240" priority="143" stopIfTrue="1" operator="lessThan">
      <formula>$B$2</formula>
    </cfRule>
  </conditionalFormatting>
  <conditionalFormatting sqref="F14">
    <cfRule type="cellIs" dxfId="239" priority="114" stopIfTrue="1" operator="lessThan">
      <formula>$B$2</formula>
    </cfRule>
  </conditionalFormatting>
  <conditionalFormatting sqref="F13">
    <cfRule type="cellIs" dxfId="238" priority="113" stopIfTrue="1" operator="lessThan">
      <formula>$B$2</formula>
    </cfRule>
  </conditionalFormatting>
  <conditionalFormatting sqref="B4:B11 E4:E11 E13:E15 B13:B15">
    <cfRule type="cellIs" dxfId="237" priority="111" stopIfTrue="1" operator="equal">
      <formula>"已过期"</formula>
    </cfRule>
  </conditionalFormatting>
  <conditionalFormatting sqref="F20">
    <cfRule type="cellIs" dxfId="236" priority="108" stopIfTrue="1" operator="lessThan">
      <formula>$B$2</formula>
    </cfRule>
  </conditionalFormatting>
  <conditionalFormatting sqref="F20">
    <cfRule type="expression" dxfId="235" priority="152">
      <formula>AND($E20-TODAY()&lt;30,TODAY()&lt;$E20)</formula>
    </cfRule>
  </conditionalFormatting>
  <conditionalFormatting sqref="C6">
    <cfRule type="expression" dxfId="234" priority="82">
      <formula>AND($C6-TODAY()&lt;30,TODAY()&lt;$C6)</formula>
    </cfRule>
  </conditionalFormatting>
  <conditionalFormatting sqref="C6">
    <cfRule type="cellIs" dxfId="233" priority="83" stopIfTrue="1" operator="lessThan">
      <formula>$B$2</formula>
    </cfRule>
  </conditionalFormatting>
  <conditionalFormatting sqref="C11 C15">
    <cfRule type="expression" dxfId="232" priority="80">
      <formula>AND($C11-TODAY()&lt;30,TODAY()&lt;$C11)</formula>
    </cfRule>
  </conditionalFormatting>
  <conditionalFormatting sqref="C11 C15">
    <cfRule type="cellIs" dxfId="231" priority="81" stopIfTrue="1" operator="lessThan">
      <formula>$B$2</formula>
    </cfRule>
  </conditionalFormatting>
  <conditionalFormatting sqref="F11">
    <cfRule type="cellIs" dxfId="230" priority="79" stopIfTrue="1" operator="lessThan">
      <formula>$B$2</formula>
    </cfRule>
  </conditionalFormatting>
  <conditionalFormatting sqref="C14">
    <cfRule type="expression" dxfId="229" priority="60">
      <formula>AND($C14-TODAY()&lt;30,TODAY()&lt;$C14)</formula>
    </cfRule>
  </conditionalFormatting>
  <conditionalFormatting sqref="C14">
    <cfRule type="cellIs" dxfId="228" priority="61" stopIfTrue="1" operator="lessThan">
      <formula>$B$2</formula>
    </cfRule>
  </conditionalFormatting>
  <conditionalFormatting sqref="C12">
    <cfRule type="cellIs" dxfId="227" priority="54" stopIfTrue="1" operator="lessThan">
      <formula>$B$2</formula>
    </cfRule>
  </conditionalFormatting>
  <conditionalFormatting sqref="C12">
    <cfRule type="expression" dxfId="226" priority="51">
      <formula>AND($C12-TODAY()&lt;30,TODAY()&lt;$C12)</formula>
    </cfRule>
  </conditionalFormatting>
  <conditionalFormatting sqref="C12">
    <cfRule type="cellIs" dxfId="225" priority="52" stopIfTrue="1" operator="lessThan">
      <formula>$B$2</formula>
    </cfRule>
  </conditionalFormatting>
  <conditionalFormatting sqref="B12">
    <cfRule type="cellIs" dxfId="224" priority="48" stopIfTrue="1" operator="equal">
      <formula>"已过期"</formula>
    </cfRule>
  </conditionalFormatting>
  <conditionalFormatting sqref="E12">
    <cfRule type="cellIs" dxfId="223" priority="38" stopIfTrue="1" operator="equal">
      <formula>"已过期"</formula>
    </cfRule>
  </conditionalFormatting>
  <conditionalFormatting sqref="F12">
    <cfRule type="cellIs" dxfId="222" priority="37" stopIfTrue="1" operator="lessThan">
      <formula>$B$2</formula>
    </cfRule>
  </conditionalFormatting>
  <conditionalFormatting sqref="C9:C10">
    <cfRule type="expression" dxfId="221" priority="33">
      <formula>AND($C9-TODAY()&lt;30,TODAY()&lt;$C9)</formula>
    </cfRule>
  </conditionalFormatting>
  <conditionalFormatting sqref="C9:C10">
    <cfRule type="cellIs" dxfId="220" priority="34" stopIfTrue="1" operator="lessThan">
      <formula>$B$2</formula>
    </cfRule>
  </conditionalFormatting>
  <conditionalFormatting sqref="F21">
    <cfRule type="cellIs" dxfId="219" priority="13" stopIfTrue="1" operator="lessThan">
      <formula>$B$2</formula>
    </cfRule>
  </conditionalFormatting>
  <conditionalFormatting sqref="F21">
    <cfRule type="expression" dxfId="218" priority="14">
      <formula>AND($E21-TODAY()&lt;30,TODAY()&lt;$E21)</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7:C8">
    <cfRule type="expression" dxfId="215" priority="3">
      <formula>AND($C7-TODAY()&lt;30,TODAY()&lt;$C7)</formula>
    </cfRule>
  </conditionalFormatting>
  <conditionalFormatting sqref="C7:C8">
    <cfRule type="cellIs" dxfId="214" priority="4" stopIfTrue="1" operator="lessThan">
      <formula>$B$2</formula>
    </cfRule>
  </conditionalFormatting>
  <conditionalFormatting sqref="C4">
    <cfRule type="expression" dxfId="213" priority="1">
      <formula>AND($C4-TODAY()&lt;30,TODAY()&lt;$C4)</formula>
    </cfRule>
  </conditionalFormatting>
  <conditionalFormatting sqref="C4">
    <cfRule type="cellIs" dxfId="21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X50" sqref="X50"/>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131</v>
      </c>
      <c r="C1" s="1488"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33" t="s">
        <v>2525</v>
      </c>
      <c r="R1" s="2432" t="s">
        <v>2519</v>
      </c>
      <c r="S1" s="6" t="s">
        <v>145</v>
      </c>
      <c r="T1" s="7" t="s">
        <v>146</v>
      </c>
      <c r="U1" s="6" t="s">
        <v>147</v>
      </c>
      <c r="V1" s="6" t="s">
        <v>148</v>
      </c>
      <c r="W1" s="992" t="s">
        <v>864</v>
      </c>
    </row>
    <row r="2" spans="1:23">
      <c r="A2" s="8" t="s">
        <v>73</v>
      </c>
      <c r="B2" s="8" t="s">
        <v>149</v>
      </c>
      <c r="C2" s="1489" t="s">
        <v>1699</v>
      </c>
      <c r="D2" s="9" t="s">
        <v>74</v>
      </c>
      <c r="E2" s="9" t="s">
        <v>126</v>
      </c>
      <c r="F2" s="9" t="s">
        <v>127</v>
      </c>
      <c r="G2" s="9">
        <v>40</v>
      </c>
      <c r="H2" s="9" t="s">
        <v>128</v>
      </c>
      <c r="I2" s="9" t="s">
        <v>129</v>
      </c>
      <c r="J2" s="9" t="s">
        <v>130</v>
      </c>
      <c r="K2" s="9" t="s">
        <v>75</v>
      </c>
      <c r="L2" s="9" t="s">
        <v>75</v>
      </c>
      <c r="M2" s="9" t="s">
        <v>75</v>
      </c>
      <c r="N2" s="9" t="s">
        <v>75</v>
      </c>
      <c r="O2" s="9" t="s">
        <v>75</v>
      </c>
      <c r="P2" s="993" t="s">
        <v>870</v>
      </c>
      <c r="Q2" s="9" t="s">
        <v>75</v>
      </c>
      <c r="R2" s="993" t="s">
        <v>2520</v>
      </c>
      <c r="S2" s="9" t="s">
        <v>75</v>
      </c>
      <c r="T2" s="9" t="s">
        <v>76</v>
      </c>
      <c r="U2" s="9" t="s">
        <v>75</v>
      </c>
      <c r="V2" s="9" t="s">
        <v>77</v>
      </c>
      <c r="W2" s="9" t="s">
        <v>865</v>
      </c>
    </row>
    <row r="3" spans="1:23">
      <c r="A3" s="8" t="s">
        <v>78</v>
      </c>
      <c r="B3" s="10" t="s">
        <v>150</v>
      </c>
      <c r="C3" s="1490" t="s">
        <v>1700</v>
      </c>
      <c r="D3" s="9" t="s">
        <v>79</v>
      </c>
      <c r="E3" s="9" t="s">
        <v>6</v>
      </c>
      <c r="F3" s="9" t="s">
        <v>80</v>
      </c>
      <c r="G3" s="9">
        <v>50</v>
      </c>
      <c r="H3" s="9" t="s">
        <v>81</v>
      </c>
      <c r="I3" s="9" t="s">
        <v>82</v>
      </c>
      <c r="J3" s="9" t="s">
        <v>83</v>
      </c>
      <c r="K3" s="9" t="s">
        <v>84</v>
      </c>
      <c r="L3" s="9" t="s">
        <v>84</v>
      </c>
      <c r="M3" s="9" t="s">
        <v>84</v>
      </c>
      <c r="N3" s="9" t="s">
        <v>84</v>
      </c>
      <c r="O3" s="9" t="s">
        <v>84</v>
      </c>
      <c r="P3" s="993" t="s">
        <v>593</v>
      </c>
      <c r="Q3" s="9" t="s">
        <v>84</v>
      </c>
      <c r="R3" s="993" t="s">
        <v>2521</v>
      </c>
      <c r="S3" s="9" t="s">
        <v>84</v>
      </c>
      <c r="T3" s="9" t="s">
        <v>85</v>
      </c>
      <c r="U3" s="9" t="s">
        <v>84</v>
      </c>
      <c r="V3" s="9" t="s">
        <v>86</v>
      </c>
      <c r="W3" s="9" t="s">
        <v>866</v>
      </c>
    </row>
    <row r="4" spans="1:23">
      <c r="A4" s="8" t="s">
        <v>87</v>
      </c>
      <c r="B4" s="8" t="s">
        <v>151</v>
      </c>
      <c r="C4" s="1489" t="s">
        <v>1701</v>
      </c>
      <c r="D4" s="9" t="s">
        <v>1982</v>
      </c>
      <c r="E4" s="9" t="s">
        <v>88</v>
      </c>
      <c r="F4" s="9" t="s">
        <v>89</v>
      </c>
      <c r="G4" s="9">
        <v>70</v>
      </c>
      <c r="H4" s="9" t="s">
        <v>90</v>
      </c>
      <c r="I4" s="9" t="s">
        <v>91</v>
      </c>
      <c r="K4" s="9" t="s">
        <v>92</v>
      </c>
      <c r="L4" s="9" t="s">
        <v>92</v>
      </c>
      <c r="M4" s="9" t="s">
        <v>92</v>
      </c>
      <c r="N4" s="9" t="s">
        <v>92</v>
      </c>
      <c r="O4" s="9" t="s">
        <v>92</v>
      </c>
      <c r="P4" s="993" t="s">
        <v>753</v>
      </c>
      <c r="Q4" s="9" t="s">
        <v>92</v>
      </c>
      <c r="R4" s="993" t="s">
        <v>2522</v>
      </c>
      <c r="S4" s="9" t="s">
        <v>92</v>
      </c>
      <c r="T4" s="9" t="s">
        <v>93</v>
      </c>
      <c r="U4" s="9" t="s">
        <v>92</v>
      </c>
      <c r="W4" s="9" t="s">
        <v>867</v>
      </c>
    </row>
    <row r="5" spans="1:23">
      <c r="A5" s="8" t="s">
        <v>94</v>
      </c>
      <c r="B5" s="8" t="s">
        <v>152</v>
      </c>
      <c r="C5" s="1489" t="s">
        <v>1702</v>
      </c>
      <c r="F5" s="9" t="s">
        <v>95</v>
      </c>
      <c r="H5" s="9" t="s">
        <v>70</v>
      </c>
      <c r="I5" s="9" t="s">
        <v>96</v>
      </c>
      <c r="K5" s="9" t="s">
        <v>97</v>
      </c>
      <c r="L5" s="9" t="s">
        <v>97</v>
      </c>
      <c r="M5" s="9" t="s">
        <v>97</v>
      </c>
      <c r="N5" s="9" t="s">
        <v>97</v>
      </c>
      <c r="O5" s="9" t="s">
        <v>97</v>
      </c>
      <c r="P5" s="993" t="s">
        <v>539</v>
      </c>
      <c r="Q5" s="9" t="s">
        <v>97</v>
      </c>
      <c r="R5" s="993" t="s">
        <v>2523</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2524</v>
      </c>
      <c r="S6" s="9" t="s">
        <v>101</v>
      </c>
      <c r="T6" s="9"/>
      <c r="U6" s="9" t="s">
        <v>101</v>
      </c>
      <c r="W6" s="9" t="s">
        <v>869</v>
      </c>
    </row>
    <row r="7" spans="1:23">
      <c r="A7" s="8" t="s">
        <v>102</v>
      </c>
      <c r="B7" s="8" t="s">
        <v>103</v>
      </c>
      <c r="C7" s="1489" t="s">
        <v>1704</v>
      </c>
      <c r="F7" s="9" t="s">
        <v>153</v>
      </c>
      <c r="H7" s="9" t="s">
        <v>104</v>
      </c>
      <c r="I7" s="9" t="s">
        <v>105</v>
      </c>
    </row>
    <row r="8" spans="1:23">
      <c r="A8" s="8" t="s">
        <v>106</v>
      </c>
      <c r="B8" s="1132" t="s">
        <v>3255</v>
      </c>
      <c r="C8" s="1489" t="s">
        <v>1705</v>
      </c>
      <c r="F8" s="9" t="s">
        <v>154</v>
      </c>
      <c r="H8" s="9"/>
      <c r="I8" s="9" t="s">
        <v>107</v>
      </c>
    </row>
    <row r="9" spans="1:23">
      <c r="A9" s="8" t="s">
        <v>108</v>
      </c>
      <c r="B9" s="8" t="s">
        <v>155</v>
      </c>
      <c r="C9" s="1489" t="s">
        <v>1706</v>
      </c>
      <c r="F9" s="9" t="s">
        <v>109</v>
      </c>
      <c r="H9" s="9"/>
    </row>
    <row r="10" spans="1:23">
      <c r="A10" s="8" t="s">
        <v>110</v>
      </c>
      <c r="B10" s="8" t="s">
        <v>156</v>
      </c>
      <c r="C10" s="1489" t="s">
        <v>1707</v>
      </c>
      <c r="F10" s="9" t="s">
        <v>6</v>
      </c>
    </row>
    <row r="11" spans="1:23">
      <c r="A11" s="8" t="s">
        <v>111</v>
      </c>
      <c r="B11" s="8" t="s">
        <v>157</v>
      </c>
      <c r="C11" s="1489" t="s">
        <v>1708</v>
      </c>
    </row>
    <row r="12" spans="1:23">
      <c r="A12" s="8" t="s">
        <v>112</v>
      </c>
      <c r="B12" s="8" t="s">
        <v>158</v>
      </c>
      <c r="C12" s="1489" t="s">
        <v>1709</v>
      </c>
    </row>
    <row r="13" spans="1:23">
      <c r="A13" s="8" t="s">
        <v>113</v>
      </c>
      <c r="B13" s="8" t="s">
        <v>159</v>
      </c>
      <c r="C13" s="1489" t="s">
        <v>1710</v>
      </c>
    </row>
    <row r="14" spans="1:23">
      <c r="A14" s="8" t="s">
        <v>114</v>
      </c>
      <c r="B14" s="8" t="s">
        <v>160</v>
      </c>
      <c r="C14" s="1492" t="s">
        <v>1886</v>
      </c>
    </row>
    <row r="15" spans="1:23">
      <c r="A15" s="8" t="s">
        <v>115</v>
      </c>
      <c r="B15" s="8" t="s">
        <v>1671</v>
      </c>
      <c r="C15" s="1492"/>
    </row>
    <row r="16" spans="1:23">
      <c r="A16" s="8" t="s">
        <v>116</v>
      </c>
      <c r="B16" s="8" t="s">
        <v>1672</v>
      </c>
      <c r="C16" s="1492"/>
    </row>
    <row r="17" spans="1:3">
      <c r="A17" s="8" t="s">
        <v>117</v>
      </c>
      <c r="B17" s="8" t="s">
        <v>1673</v>
      </c>
      <c r="C17" s="1492"/>
    </row>
    <row r="18" spans="1:3">
      <c r="A18" s="8" t="s">
        <v>118</v>
      </c>
      <c r="B18" s="2791" t="s">
        <v>2915</v>
      </c>
      <c r="C18" s="1492"/>
    </row>
    <row r="19" spans="1:3">
      <c r="A19" s="8" t="s">
        <v>119</v>
      </c>
      <c r="B19" s="2791" t="s">
        <v>2922</v>
      </c>
      <c r="C19" s="1492"/>
    </row>
    <row r="20" spans="1:3">
      <c r="A20" s="8" t="s">
        <v>120</v>
      </c>
      <c r="B20" s="2791" t="s">
        <v>2968</v>
      </c>
      <c r="C20" s="1492"/>
    </row>
    <row r="21" spans="1:3">
      <c r="A21" s="8" t="s">
        <v>121</v>
      </c>
      <c r="B21" s="8" t="s">
        <v>3256</v>
      </c>
      <c r="C21" s="1492"/>
    </row>
    <row r="22" spans="1:3">
      <c r="A22" s="8" t="s">
        <v>122</v>
      </c>
      <c r="B22" s="8" t="s">
        <v>3257</v>
      </c>
      <c r="C22" s="1492"/>
    </row>
    <row r="23" spans="1:3">
      <c r="A23" s="8" t="s">
        <v>123</v>
      </c>
      <c r="B23" s="8" t="s">
        <v>3258</v>
      </c>
      <c r="C23" s="1492"/>
    </row>
    <row r="24" spans="1:3">
      <c r="A24" s="8" t="s">
        <v>12</v>
      </c>
      <c r="B24" s="8" t="s">
        <v>1631</v>
      </c>
      <c r="C24" s="1492"/>
    </row>
    <row r="25" spans="1:3">
      <c r="A25" s="8" t="s">
        <v>124</v>
      </c>
      <c r="B25" s="8" t="s">
        <v>1631</v>
      </c>
      <c r="C25" s="1492"/>
    </row>
    <row r="26" spans="1:3">
      <c r="A26" s="8" t="s">
        <v>125</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24"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c r="D53" s="1685"/>
      <c r="E53" s="1685"/>
    </row>
    <row r="54" spans="1:5">
      <c r="A54" s="3324"/>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4"/>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4"/>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4"/>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155</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不动产收益法-公寓</vt:lpstr>
      <vt:lpstr>不动产收益法-酒店</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'不动产收益法-公寓'!Print_Area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2021-09-14T05:34:31Z</dcterms:modified>
</cp:coreProperties>
</file>