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卢-昌信同泰\合同\"/>
    </mc:Choice>
  </mc:AlternateContent>
  <bookViews>
    <workbookView xWindow="0" yWindow="0" windowWidth="27195" windowHeight="13140" firstSheet="1" activeTab="8"/>
  </bookViews>
  <sheets>
    <sheet name="规划指标" sheetId="1" r:id="rId1"/>
    <sheet name="建设标准" sheetId="2" r:id="rId2"/>
    <sheet name="进度" sheetId="3" r:id="rId3"/>
    <sheet name="地下货值分析" sheetId="20" r:id="rId4"/>
    <sheet name="收入测算" sheetId="4" r:id="rId5"/>
    <sheet name="成本构成" sheetId="5" r:id="rId6"/>
    <sheet name="敏感性" sheetId="13" r:id="rId7"/>
    <sheet name="土增税" sheetId="6" r:id="rId8"/>
    <sheet name="基础运算" sheetId="7" r:id="rId9"/>
    <sheet name="现金流量" sheetId="9" r:id="rId10"/>
    <sheet name="资金平衡" sheetId="10" r:id="rId11"/>
    <sheet name="偿还贷款表" sheetId="11" r:id="rId12"/>
    <sheet name="利润表" sheetId="8" r:id="rId13"/>
    <sheet name="敏感性_成本" sheetId="12" r:id="rId14"/>
    <sheet name="敏感性_销售率" sheetId="14" r:id="rId15"/>
    <sheet name="投标价分析" sheetId="15" r:id="rId16"/>
    <sheet name="投标价倒算" sheetId="16" r:id="rId17"/>
    <sheet name="竞拍政策性用房分析" sheetId="17" r:id="rId18"/>
    <sheet name="以往土地中标分析" sheetId="18" r:id="rId19"/>
    <sheet name="调研项目标准" sheetId="19" r:id="rId20"/>
  </sheets>
  <definedNames>
    <definedName name="不含税净利">成本构成!$H$88</definedName>
    <definedName name="不可预见费率">成本构成!$G$65</definedName>
    <definedName name="财务费">基础运算!$C$15</definedName>
    <definedName name="纯直开">基础运算!$C$4</definedName>
    <definedName name="贷款利率">成本构成!$F$89</definedName>
    <definedName name="当前地价">成本构成!$F$7</definedName>
    <definedName name="地价上限值" localSheetId="17">竞拍政策性用房分析!$B$3</definedName>
    <definedName name="附加税税率">成本构成!$G$76</definedName>
    <definedName name="股东借款利率">成本构成!$F$90</definedName>
    <definedName name="股东内部收益率">资金平衡!$D$35</definedName>
    <definedName name="管理费">基础运算!$C$14</definedName>
    <definedName name="管理费用比例">成本构成!$G$69</definedName>
    <definedName name="加价阶梯值" localSheetId="15">投标价分析!$B$3</definedName>
    <definedName name="监理费比例">成本构成!$G$45</definedName>
    <definedName name="净利润">基础运算!$C$50</definedName>
    <definedName name="竞拍政策性用房建安费值" localSheetId="17">竞拍政策性用房分析!$J$3</definedName>
    <definedName name="竞拍政策性用房面积增加阶梯值" localSheetId="17">竞拍政策性用房分析!$F$3</definedName>
    <definedName name="竞拍政策性用房售价值" localSheetId="17">竞拍政策性用房分析!$H$3</definedName>
    <definedName name="竞拍政策性用房销售费用比例值" localSheetId="17">竞拍政策性用房分析!$L$3</definedName>
    <definedName name="利润表所得税总额">利润表!$C$22</definedName>
    <definedName name="内部收益率">基础运算!$C$72</definedName>
    <definedName name="期间费用">基础运算!$C$13</definedName>
    <definedName name="其他税">基础运算!$C$18</definedName>
    <definedName name="全直开">基础运算!$C$3</definedName>
    <definedName name="税前利润">基础运算!$C$48</definedName>
    <definedName name="所得税">基础运算!$C$49</definedName>
    <definedName name="所得税税率">成本构成!$F$91</definedName>
    <definedName name="投标底价值" localSheetId="15">投标价分析!$D$3</definedName>
    <definedName name="投资净利率">基础运算!$C$52</definedName>
    <definedName name="投资毛利率">基础运算!$C$51</definedName>
    <definedName name="土增税">基础运算!$C$19</definedName>
    <definedName name="土增税预提比例">成本构成!$G$83</definedName>
    <definedName name="现值系数">成本构成!$F$93</definedName>
    <definedName name="相应减少面积的产品类型" localSheetId="17">竞拍政策性用房分析!$C$4</definedName>
    <definedName name="销售费">基础运算!$C$16</definedName>
    <definedName name="销售净利率">基础运算!$C$54</definedName>
    <definedName name="销售毛利率">基础运算!$C$53</definedName>
    <definedName name="选中的相应减少面积的产品类型" localSheetId="17">竞拍政策性用房分析!$D$3</definedName>
    <definedName name="增值税">收入测算!$F$91</definedName>
    <definedName name="增值税及附加">基础运算!$C$17</definedName>
    <definedName name="增值税适用税率">成本构成!$J$85</definedName>
    <definedName name="增值税预交税率">成本构成!$F$92</definedName>
    <definedName name="总地上建筑面积">规划指标!$D$16</definedName>
    <definedName name="总建筑面积">规划指标!$D$15</definedName>
    <definedName name="总可售面积">收入测算!$F$86</definedName>
    <definedName name="总商品房面积">规划指标!$E$21</definedName>
    <definedName name="总投资">基础运算!$C$46</definedName>
    <definedName name="总销售收入">收入测算!$F$92</definedName>
    <definedName name="总占地面积">规划指标!$D$5</definedName>
  </definedNames>
  <calcPr calcId="152511"/>
</workbook>
</file>

<file path=xl/calcChain.xml><?xml version="1.0" encoding="utf-8"?>
<calcChain xmlns="http://schemas.openxmlformats.org/spreadsheetml/2006/main">
  <c r="J92" i="4" l="1"/>
  <c r="AH10" i="5"/>
  <c r="F69" i="5" l="1"/>
  <c r="F92" i="4"/>
  <c r="F55" i="4"/>
  <c r="F86" i="4"/>
  <c r="J88" i="4"/>
  <c r="F88" i="4"/>
  <c r="J25" i="4" l="1"/>
  <c r="J23" i="4"/>
  <c r="C4" i="17"/>
  <c r="A5" i="14"/>
  <c r="A5" i="12"/>
  <c r="G61" i="8"/>
  <c r="F61" i="8"/>
  <c r="E61" i="8"/>
  <c r="E55" i="8"/>
  <c r="D55" i="8"/>
  <c r="E37" i="8"/>
  <c r="D37" i="8"/>
  <c r="E36" i="8"/>
  <c r="D36" i="8"/>
  <c r="E35" i="8"/>
  <c r="D35" i="8"/>
  <c r="E34" i="8"/>
  <c r="D34" i="8"/>
  <c r="E33" i="8"/>
  <c r="D33" i="8"/>
  <c r="E32" i="8"/>
  <c r="D32" i="8"/>
  <c r="G28" i="8"/>
  <c r="F28" i="8"/>
  <c r="G21" i="8"/>
  <c r="G10" i="8" s="1"/>
  <c r="E21" i="8"/>
  <c r="E10" i="8" s="1"/>
  <c r="D21" i="8"/>
  <c r="D10" i="8" s="1"/>
  <c r="E4" i="8"/>
  <c r="D4" i="8"/>
  <c r="T18" i="11"/>
  <c r="R13" i="11"/>
  <c r="Q13" i="11"/>
  <c r="P13" i="11"/>
  <c r="N13" i="11"/>
  <c r="M13" i="11"/>
  <c r="L13" i="11"/>
  <c r="J13" i="11"/>
  <c r="I13" i="11"/>
  <c r="H13" i="11"/>
  <c r="F13" i="11"/>
  <c r="E13" i="11"/>
  <c r="T12" i="11"/>
  <c r="T10" i="11"/>
  <c r="R10" i="11"/>
  <c r="Q10" i="11"/>
  <c r="P10" i="11"/>
  <c r="N10" i="11"/>
  <c r="M10" i="11"/>
  <c r="L10" i="11"/>
  <c r="J10" i="11"/>
  <c r="I10" i="11"/>
  <c r="H10" i="11"/>
  <c r="F10" i="11"/>
  <c r="E10" i="11"/>
  <c r="T9" i="11"/>
  <c r="F7" i="11"/>
  <c r="F16" i="11" s="1"/>
  <c r="G7" i="11" s="1"/>
  <c r="E7" i="11"/>
  <c r="E16" i="11" s="1"/>
  <c r="E6" i="11"/>
  <c r="E5" i="11"/>
  <c r="U45" i="10"/>
  <c r="T45" i="10"/>
  <c r="S45" i="10"/>
  <c r="R45" i="10"/>
  <c r="Q45" i="10"/>
  <c r="P45" i="10"/>
  <c r="O45" i="10"/>
  <c r="N45" i="10"/>
  <c r="M45" i="10"/>
  <c r="L45" i="10"/>
  <c r="K45" i="10"/>
  <c r="J45" i="10"/>
  <c r="I45" i="10"/>
  <c r="H45" i="10"/>
  <c r="G45" i="10"/>
  <c r="F45" i="10"/>
  <c r="S30" i="10"/>
  <c r="R30" i="10"/>
  <c r="Q30" i="10"/>
  <c r="O30" i="10"/>
  <c r="N30" i="10"/>
  <c r="M30" i="10"/>
  <c r="K30" i="10"/>
  <c r="J30" i="10"/>
  <c r="I30" i="10"/>
  <c r="G30" i="10"/>
  <c r="F30" i="10"/>
  <c r="U29" i="10"/>
  <c r="U26" i="10"/>
  <c r="U23" i="10"/>
  <c r="T23" i="10"/>
  <c r="S23" i="10"/>
  <c r="R23" i="10"/>
  <c r="Q23" i="10"/>
  <c r="P23" i="10"/>
  <c r="O23" i="10"/>
  <c r="N23" i="10"/>
  <c r="M23" i="10"/>
  <c r="L23" i="10"/>
  <c r="K23" i="10"/>
  <c r="J23" i="10"/>
  <c r="I23" i="10"/>
  <c r="H23" i="10"/>
  <c r="G23" i="10"/>
  <c r="F23" i="10"/>
  <c r="D23" i="10"/>
  <c r="U21" i="10"/>
  <c r="S21" i="10"/>
  <c r="R21" i="10"/>
  <c r="Q21" i="10"/>
  <c r="O21" i="10"/>
  <c r="N21" i="10"/>
  <c r="M21" i="10"/>
  <c r="K21" i="10"/>
  <c r="J21" i="10"/>
  <c r="I21" i="10"/>
  <c r="G21" i="10"/>
  <c r="F21" i="10"/>
  <c r="U20" i="10"/>
  <c r="U19" i="10"/>
  <c r="T19" i="10"/>
  <c r="S19" i="10"/>
  <c r="R19" i="10"/>
  <c r="Q19" i="10"/>
  <c r="P19" i="10"/>
  <c r="O19" i="10"/>
  <c r="N19" i="10"/>
  <c r="M19" i="10"/>
  <c r="L19" i="10"/>
  <c r="K19" i="10"/>
  <c r="J19" i="10"/>
  <c r="I19" i="10"/>
  <c r="H19" i="10"/>
  <c r="G19" i="10"/>
  <c r="T29" i="9"/>
  <c r="S29" i="9"/>
  <c r="R29" i="9"/>
  <c r="Q29" i="9"/>
  <c r="P29" i="9"/>
  <c r="O29" i="9"/>
  <c r="N29" i="9"/>
  <c r="M29" i="9"/>
  <c r="L29" i="9"/>
  <c r="K29" i="9"/>
  <c r="J29" i="9"/>
  <c r="I29" i="9"/>
  <c r="H29" i="9"/>
  <c r="G29" i="9"/>
  <c r="F29" i="9"/>
  <c r="E29" i="9"/>
  <c r="D22" i="9"/>
  <c r="T19" i="9"/>
  <c r="S19" i="9"/>
  <c r="R19" i="9"/>
  <c r="Q19" i="9"/>
  <c r="P19" i="9"/>
  <c r="O19" i="9"/>
  <c r="N19" i="9"/>
  <c r="M19" i="9"/>
  <c r="L19" i="9"/>
  <c r="K19" i="9"/>
  <c r="J19" i="9"/>
  <c r="I19" i="9"/>
  <c r="H19" i="9"/>
  <c r="G19" i="9"/>
  <c r="F19" i="9"/>
  <c r="E19" i="9"/>
  <c r="C70" i="7"/>
  <c r="C61" i="7"/>
  <c r="C60" i="7"/>
  <c r="C59" i="7"/>
  <c r="C58" i="7"/>
  <c r="C57" i="7"/>
  <c r="C55" i="7"/>
  <c r="C39" i="7"/>
  <c r="G38" i="7"/>
  <c r="C35" i="7"/>
  <c r="E34" i="7"/>
  <c r="C28" i="7"/>
  <c r="D19" i="9" s="1"/>
  <c r="E26" i="7"/>
  <c r="F19" i="10" s="1"/>
  <c r="F24" i="7"/>
  <c r="E24" i="7"/>
  <c r="S20" i="7"/>
  <c r="R20" i="7"/>
  <c r="Q20" i="7"/>
  <c r="C26" i="6"/>
  <c r="C12" i="6"/>
  <c r="C7" i="6"/>
  <c r="E3" i="6"/>
  <c r="D3" i="6"/>
  <c r="C3" i="6"/>
  <c r="Q25" i="13"/>
  <c r="P20" i="13"/>
  <c r="A5" i="13"/>
  <c r="J83" i="5"/>
  <c r="AV80" i="5"/>
  <c r="AU80" i="5"/>
  <c r="AT80" i="5"/>
  <c r="AS80" i="5"/>
  <c r="AR80" i="5"/>
  <c r="AG80" i="5"/>
  <c r="AV78" i="5"/>
  <c r="AT78" i="5"/>
  <c r="AR78" i="5"/>
  <c r="AP78" i="5"/>
  <c r="AN78" i="5"/>
  <c r="AL78" i="5"/>
  <c r="AJ78" i="5"/>
  <c r="AH78" i="5"/>
  <c r="K78" i="5"/>
  <c r="AV73" i="5"/>
  <c r="AU73" i="5"/>
  <c r="AT73" i="5"/>
  <c r="AS73" i="5"/>
  <c r="AR73" i="5"/>
  <c r="AQ73" i="5"/>
  <c r="AP73" i="5"/>
  <c r="AO73" i="5"/>
  <c r="AN73" i="5"/>
  <c r="AM73" i="5"/>
  <c r="AL73" i="5"/>
  <c r="AK73" i="5"/>
  <c r="AJ73" i="5"/>
  <c r="AI73" i="5"/>
  <c r="AH73" i="5"/>
  <c r="AG73" i="5"/>
  <c r="I73" i="5"/>
  <c r="H73" i="5" s="1"/>
  <c r="AU63" i="5"/>
  <c r="AT63" i="5"/>
  <c r="AS63" i="5"/>
  <c r="AK63" i="5"/>
  <c r="AG63" i="5"/>
  <c r="O63" i="5"/>
  <c r="L63" i="5"/>
  <c r="F63" i="5"/>
  <c r="AQ63" i="5" s="1"/>
  <c r="AV62" i="5"/>
  <c r="AU62" i="5"/>
  <c r="AT62" i="5"/>
  <c r="AS62" i="5"/>
  <c r="AR62" i="5"/>
  <c r="AQ62" i="5"/>
  <c r="AP62" i="5"/>
  <c r="AO62" i="5"/>
  <c r="AN62" i="5"/>
  <c r="AM62" i="5"/>
  <c r="AL62" i="5"/>
  <c r="AK62" i="5"/>
  <c r="AJ62" i="5"/>
  <c r="AI62" i="5"/>
  <c r="AH62" i="5"/>
  <c r="AG62" i="5"/>
  <c r="O62" i="5"/>
  <c r="L62" i="5"/>
  <c r="I62" i="5"/>
  <c r="H62" i="5" s="1"/>
  <c r="AU61" i="5"/>
  <c r="AT61" i="5"/>
  <c r="AS61" i="5"/>
  <c r="AP61" i="5"/>
  <c r="AO61" i="5"/>
  <c r="AM61" i="5"/>
  <c r="AK61" i="5"/>
  <c r="AI61" i="5"/>
  <c r="AH61" i="5"/>
  <c r="AG61" i="5"/>
  <c r="O61" i="5"/>
  <c r="L61" i="5"/>
  <c r="I61" i="5"/>
  <c r="H61" i="5" s="1"/>
  <c r="F61" i="5"/>
  <c r="AV61" i="5" s="1"/>
  <c r="AV60" i="5"/>
  <c r="AU60" i="5"/>
  <c r="AT60" i="5"/>
  <c r="AS60" i="5"/>
  <c r="AR60" i="5"/>
  <c r="AQ60" i="5"/>
  <c r="AP60" i="5"/>
  <c r="AO60" i="5"/>
  <c r="AN60" i="5"/>
  <c r="AM60" i="5"/>
  <c r="AL60" i="5"/>
  <c r="AK60" i="5"/>
  <c r="AJ60" i="5"/>
  <c r="AI60" i="5"/>
  <c r="AH60" i="5"/>
  <c r="AG60" i="5"/>
  <c r="O60" i="5"/>
  <c r="L60" i="5"/>
  <c r="I60" i="5"/>
  <c r="H60" i="5" s="1"/>
  <c r="AV59" i="5"/>
  <c r="AU59" i="5"/>
  <c r="AT59" i="5"/>
  <c r="AS59" i="5"/>
  <c r="AR59" i="5"/>
  <c r="AQ59" i="5"/>
  <c r="AP59" i="5"/>
  <c r="AO59" i="5"/>
  <c r="AN59" i="5"/>
  <c r="AM59" i="5"/>
  <c r="AL59" i="5"/>
  <c r="AK59" i="5"/>
  <c r="AJ59" i="5"/>
  <c r="AI59" i="5"/>
  <c r="AH59" i="5"/>
  <c r="AG59" i="5"/>
  <c r="O59" i="5"/>
  <c r="L59" i="5"/>
  <c r="I59" i="5"/>
  <c r="H59" i="5" s="1"/>
  <c r="AU58" i="5"/>
  <c r="AT58" i="5"/>
  <c r="AS58" i="5"/>
  <c r="AG58" i="5"/>
  <c r="O58" i="5"/>
  <c r="L58" i="5"/>
  <c r="F58" i="5"/>
  <c r="AV57" i="5"/>
  <c r="AU57" i="5"/>
  <c r="AT57" i="5"/>
  <c r="AS57" i="5"/>
  <c r="AR57" i="5"/>
  <c r="AQ57" i="5"/>
  <c r="AP57" i="5"/>
  <c r="AO57" i="5"/>
  <c r="AN57" i="5"/>
  <c r="AM57" i="5"/>
  <c r="AL57" i="5"/>
  <c r="AK57" i="5"/>
  <c r="AJ57" i="5"/>
  <c r="AI57" i="5"/>
  <c r="AH57" i="5"/>
  <c r="AG57" i="5"/>
  <c r="L57" i="5"/>
  <c r="I57" i="5"/>
  <c r="H57" i="5" s="1"/>
  <c r="AU56" i="5"/>
  <c r="AT56" i="5"/>
  <c r="AS56" i="5"/>
  <c r="AG56" i="5"/>
  <c r="O56" i="5"/>
  <c r="N56" i="5"/>
  <c r="N57" i="5" s="1"/>
  <c r="O57" i="5" s="1"/>
  <c r="K56" i="5"/>
  <c r="G56" i="5"/>
  <c r="F56" i="5" s="1"/>
  <c r="AV55" i="5"/>
  <c r="AU55" i="5"/>
  <c r="AT55" i="5"/>
  <c r="AS55" i="5"/>
  <c r="AR55" i="5"/>
  <c r="AQ55" i="5"/>
  <c r="AP55" i="5"/>
  <c r="AO55" i="5"/>
  <c r="AN55" i="5"/>
  <c r="AM55" i="5"/>
  <c r="AL55" i="5"/>
  <c r="AK55" i="5"/>
  <c r="AJ55" i="5"/>
  <c r="AI55" i="5"/>
  <c r="AH55" i="5"/>
  <c r="AG55" i="5"/>
  <c r="L55" i="5"/>
  <c r="I55" i="5"/>
  <c r="H55" i="5" s="1"/>
  <c r="AU54" i="5"/>
  <c r="AT54" i="5"/>
  <c r="AS54" i="5"/>
  <c r="AG54" i="5"/>
  <c r="N54" i="5"/>
  <c r="K54" i="5"/>
  <c r="F54" i="5"/>
  <c r="AL54" i="5" s="1"/>
  <c r="AG51" i="5"/>
  <c r="AU50" i="5"/>
  <c r="AT50" i="5"/>
  <c r="AS50" i="5"/>
  <c r="AG50" i="5"/>
  <c r="O50" i="5"/>
  <c r="AU49" i="5"/>
  <c r="AT49" i="5"/>
  <c r="AS49" i="5"/>
  <c r="AG49" i="5"/>
  <c r="AU48" i="5"/>
  <c r="AT48" i="5"/>
  <c r="AS48" i="5"/>
  <c r="AS51" i="5" s="1"/>
  <c r="AG48" i="5"/>
  <c r="AV46" i="5"/>
  <c r="AU46" i="5"/>
  <c r="AT46" i="5"/>
  <c r="AS46" i="5"/>
  <c r="AQ46" i="5"/>
  <c r="AP46" i="5"/>
  <c r="AO46" i="5"/>
  <c r="AN46" i="5"/>
  <c r="AM46" i="5"/>
  <c r="AL46" i="5"/>
  <c r="AK46" i="5"/>
  <c r="AJ46" i="5"/>
  <c r="AI46" i="5"/>
  <c r="AH46" i="5"/>
  <c r="AG46" i="5"/>
  <c r="AV44" i="5"/>
  <c r="AU44" i="5"/>
  <c r="AT44" i="5"/>
  <c r="AS44" i="5"/>
  <c r="AR44" i="5"/>
  <c r="AQ44" i="5"/>
  <c r="AP44" i="5"/>
  <c r="AO44" i="5"/>
  <c r="AN44" i="5"/>
  <c r="AM44" i="5"/>
  <c r="AL44" i="5"/>
  <c r="AK44" i="5"/>
  <c r="AJ44" i="5"/>
  <c r="AI44" i="5"/>
  <c r="AH44" i="5"/>
  <c r="AG44" i="5"/>
  <c r="N44" i="5"/>
  <c r="O44" i="5" s="1"/>
  <c r="I44" i="5"/>
  <c r="H44" i="5" s="1"/>
  <c r="AU43" i="5"/>
  <c r="AT43" i="5"/>
  <c r="AS43" i="5"/>
  <c r="AG43" i="5"/>
  <c r="N43" i="5"/>
  <c r="O43" i="5" s="1"/>
  <c r="K43" i="5"/>
  <c r="G43" i="5"/>
  <c r="AV42" i="5"/>
  <c r="AU42" i="5"/>
  <c r="AT42" i="5"/>
  <c r="AS42" i="5"/>
  <c r="AR42" i="5"/>
  <c r="AQ42" i="5"/>
  <c r="AP42" i="5"/>
  <c r="AO42" i="5"/>
  <c r="AN42" i="5"/>
  <c r="AM42" i="5"/>
  <c r="AL42" i="5"/>
  <c r="AK42" i="5"/>
  <c r="AJ42" i="5"/>
  <c r="AI42" i="5"/>
  <c r="AH42" i="5"/>
  <c r="AG42" i="5"/>
  <c r="K42" i="5"/>
  <c r="L42" i="5" s="1"/>
  <c r="I42" i="5"/>
  <c r="H42" i="5" s="1"/>
  <c r="AU41" i="5"/>
  <c r="AT41" i="5"/>
  <c r="AS41" i="5"/>
  <c r="AG41" i="5"/>
  <c r="K41" i="5"/>
  <c r="G41" i="5"/>
  <c r="F41" i="5" s="1"/>
  <c r="AV40" i="5"/>
  <c r="AU40" i="5"/>
  <c r="AT40" i="5"/>
  <c r="AS40" i="5"/>
  <c r="AR40" i="5"/>
  <c r="AQ40" i="5"/>
  <c r="AP40" i="5"/>
  <c r="AO40" i="5"/>
  <c r="AN40" i="5"/>
  <c r="AM40" i="5"/>
  <c r="AL40" i="5"/>
  <c r="AK40" i="5"/>
  <c r="AJ40" i="5"/>
  <c r="AI40" i="5"/>
  <c r="AH40" i="5"/>
  <c r="AG40" i="5"/>
  <c r="N40" i="5"/>
  <c r="O40" i="5" s="1"/>
  <c r="I40" i="5"/>
  <c r="H40" i="5" s="1"/>
  <c r="AU39" i="5"/>
  <c r="AT39" i="5"/>
  <c r="AS39" i="5"/>
  <c r="AR39" i="5"/>
  <c r="AQ39" i="5"/>
  <c r="AG39" i="5"/>
  <c r="N39" i="5"/>
  <c r="K39" i="5"/>
  <c r="K40" i="5" s="1"/>
  <c r="L40" i="5" s="1"/>
  <c r="G39" i="5"/>
  <c r="F39" i="5" s="1"/>
  <c r="AV38" i="5"/>
  <c r="AU38" i="5"/>
  <c r="AT38" i="5"/>
  <c r="AS38" i="5"/>
  <c r="AR38" i="5"/>
  <c r="AQ38" i="5"/>
  <c r="AP38" i="5"/>
  <c r="AO38" i="5"/>
  <c r="AN38" i="5"/>
  <c r="AM38" i="5"/>
  <c r="AL38" i="5"/>
  <c r="AK38" i="5"/>
  <c r="AJ38" i="5"/>
  <c r="AI38" i="5"/>
  <c r="AH38" i="5"/>
  <c r="AG38" i="5"/>
  <c r="I38" i="5"/>
  <c r="H38" i="5" s="1"/>
  <c r="AU37" i="5"/>
  <c r="AT37" i="5"/>
  <c r="AS37" i="5"/>
  <c r="AG37" i="5"/>
  <c r="G37" i="5"/>
  <c r="AV36" i="5"/>
  <c r="AU36" i="5"/>
  <c r="AT36" i="5"/>
  <c r="AS36" i="5"/>
  <c r="AR36" i="5"/>
  <c r="AQ36" i="5"/>
  <c r="AP36" i="5"/>
  <c r="AO36" i="5"/>
  <c r="AN36" i="5"/>
  <c r="AM36" i="5"/>
  <c r="AL36" i="5"/>
  <c r="AK36" i="5"/>
  <c r="AJ36" i="5"/>
  <c r="AI36" i="5"/>
  <c r="AH36" i="5"/>
  <c r="AG36" i="5"/>
  <c r="N36" i="5"/>
  <c r="O36" i="5" s="1"/>
  <c r="I36" i="5"/>
  <c r="H36" i="5" s="1"/>
  <c r="AU35" i="5"/>
  <c r="AT35" i="5"/>
  <c r="AS35" i="5"/>
  <c r="AG35" i="5"/>
  <c r="N35" i="5"/>
  <c r="O35" i="5" s="1"/>
  <c r="K35" i="5"/>
  <c r="F35" i="5"/>
  <c r="AL35" i="5" s="1"/>
  <c r="AU34" i="5"/>
  <c r="AT34" i="5"/>
  <c r="AS34" i="5"/>
  <c r="AS33" i="5" s="1"/>
  <c r="AG34" i="5"/>
  <c r="K34" i="5"/>
  <c r="AU33" i="5"/>
  <c r="N33" i="5"/>
  <c r="N34" i="5" s="1"/>
  <c r="K33" i="5"/>
  <c r="K36" i="5" s="1"/>
  <c r="L36" i="5" s="1"/>
  <c r="AV32" i="5"/>
  <c r="AU32" i="5"/>
  <c r="AT32" i="5"/>
  <c r="AS32" i="5"/>
  <c r="AR32" i="5"/>
  <c r="AQ32" i="5"/>
  <c r="AP32" i="5"/>
  <c r="AO32" i="5"/>
  <c r="AN32" i="5"/>
  <c r="AM32" i="5"/>
  <c r="AL32" i="5"/>
  <c r="AK32" i="5"/>
  <c r="AJ32" i="5"/>
  <c r="AI32" i="5"/>
  <c r="AH32" i="5"/>
  <c r="AG32" i="5"/>
  <c r="I32" i="5"/>
  <c r="H32" i="5"/>
  <c r="AU31" i="5"/>
  <c r="AT31" i="5"/>
  <c r="AS31" i="5"/>
  <c r="AG31" i="5"/>
  <c r="AV30" i="5"/>
  <c r="AU30" i="5"/>
  <c r="AT30" i="5"/>
  <c r="AS30" i="5"/>
  <c r="AR30" i="5"/>
  <c r="AQ30" i="5"/>
  <c r="AP30" i="5"/>
  <c r="AO30" i="5"/>
  <c r="AN30" i="5"/>
  <c r="AM30" i="5"/>
  <c r="AL30" i="5"/>
  <c r="AK30" i="5"/>
  <c r="AJ30" i="5"/>
  <c r="AI30" i="5"/>
  <c r="AH30" i="5"/>
  <c r="AG30" i="5"/>
  <c r="K30" i="5"/>
  <c r="L30" i="5" s="1"/>
  <c r="I30" i="5"/>
  <c r="H30" i="5" s="1"/>
  <c r="AU29" i="5"/>
  <c r="AT29" i="5"/>
  <c r="AS29" i="5"/>
  <c r="AG29" i="5"/>
  <c r="K29" i="5"/>
  <c r="G29" i="5"/>
  <c r="AV26" i="5"/>
  <c r="AU26" i="5"/>
  <c r="AT26" i="5"/>
  <c r="AS26" i="5"/>
  <c r="AR26" i="5"/>
  <c r="AQ26" i="5"/>
  <c r="AP26" i="5"/>
  <c r="AO26" i="5"/>
  <c r="AN26" i="5"/>
  <c r="AM26" i="5"/>
  <c r="AL26" i="5"/>
  <c r="AK26" i="5"/>
  <c r="AJ26" i="5"/>
  <c r="AI26" i="5"/>
  <c r="AG26" i="5"/>
  <c r="AV25" i="5"/>
  <c r="AU25" i="5"/>
  <c r="AT25" i="5"/>
  <c r="AS25" i="5"/>
  <c r="AR25" i="5"/>
  <c r="AQ25" i="5"/>
  <c r="AP25" i="5"/>
  <c r="AO25" i="5"/>
  <c r="AN25" i="5"/>
  <c r="AM25" i="5"/>
  <c r="AL25" i="5"/>
  <c r="AK25" i="5"/>
  <c r="AJ25" i="5"/>
  <c r="AI25" i="5"/>
  <c r="AG25" i="5"/>
  <c r="AV24" i="5"/>
  <c r="AU24" i="5"/>
  <c r="AT24" i="5"/>
  <c r="AS24" i="5"/>
  <c r="AR24" i="5"/>
  <c r="AQ24" i="5"/>
  <c r="AP24" i="5"/>
  <c r="AO24" i="5"/>
  <c r="AN24" i="5"/>
  <c r="AM24" i="5"/>
  <c r="AL24" i="5"/>
  <c r="AK24" i="5"/>
  <c r="AJ24" i="5"/>
  <c r="AI24" i="5"/>
  <c r="AG24" i="5"/>
  <c r="AV23" i="5"/>
  <c r="AU23" i="5"/>
  <c r="AT23" i="5"/>
  <c r="AS23" i="5"/>
  <c r="AR23" i="5"/>
  <c r="AQ23" i="5"/>
  <c r="AP23" i="5"/>
  <c r="AO23" i="5"/>
  <c r="AN23" i="5"/>
  <c r="AM23" i="5"/>
  <c r="AL23" i="5"/>
  <c r="AK23" i="5"/>
  <c r="AJ23" i="5"/>
  <c r="AI23" i="5"/>
  <c r="AH23" i="5"/>
  <c r="AV22" i="5"/>
  <c r="AU22" i="5"/>
  <c r="AT22" i="5"/>
  <c r="AS22" i="5"/>
  <c r="AR22" i="5"/>
  <c r="AQ22" i="5"/>
  <c r="AP22" i="5"/>
  <c r="AO22" i="5"/>
  <c r="AN22" i="5"/>
  <c r="AM22" i="5"/>
  <c r="AL22" i="5"/>
  <c r="AK22" i="5"/>
  <c r="AJ22" i="5"/>
  <c r="AI22" i="5"/>
  <c r="AH22" i="5"/>
  <c r="AV21" i="5"/>
  <c r="AU21" i="5"/>
  <c r="AT21" i="5"/>
  <c r="AS21" i="5"/>
  <c r="AR21" i="5"/>
  <c r="AQ21" i="5"/>
  <c r="AP21" i="5"/>
  <c r="AO21" i="5"/>
  <c r="AN21" i="5"/>
  <c r="AM21" i="5"/>
  <c r="AL21" i="5"/>
  <c r="AK21" i="5"/>
  <c r="AJ21" i="5"/>
  <c r="AI21" i="5"/>
  <c r="AV20" i="5"/>
  <c r="AU20" i="5"/>
  <c r="AT20" i="5"/>
  <c r="AS20" i="5"/>
  <c r="AR20" i="5"/>
  <c r="AQ20" i="5"/>
  <c r="AP20" i="5"/>
  <c r="AO20" i="5"/>
  <c r="AN20" i="5"/>
  <c r="AM20" i="5"/>
  <c r="AL20" i="5"/>
  <c r="AK20" i="5"/>
  <c r="AJ20" i="5"/>
  <c r="AI20" i="5"/>
  <c r="AV19" i="5"/>
  <c r="AU19" i="5"/>
  <c r="AU17" i="5" s="1"/>
  <c r="AT19" i="5"/>
  <c r="AS19" i="5"/>
  <c r="AR19" i="5"/>
  <c r="AQ19" i="5"/>
  <c r="AP19" i="5"/>
  <c r="AO19" i="5"/>
  <c r="AN19" i="5"/>
  <c r="AM19" i="5"/>
  <c r="AL19" i="5"/>
  <c r="AK19" i="5"/>
  <c r="AJ19" i="5"/>
  <c r="AI19" i="5"/>
  <c r="AI17" i="5" s="1"/>
  <c r="AH19" i="5"/>
  <c r="AV18" i="5"/>
  <c r="AU18" i="5"/>
  <c r="AT18" i="5"/>
  <c r="AS18" i="5"/>
  <c r="AR18" i="5"/>
  <c r="AQ18" i="5"/>
  <c r="AP18" i="5"/>
  <c r="AO18" i="5"/>
  <c r="AN18" i="5"/>
  <c r="AM18" i="5"/>
  <c r="AM17" i="5" s="1"/>
  <c r="AL18" i="5"/>
  <c r="AK18" i="5"/>
  <c r="AJ18" i="5"/>
  <c r="AI18" i="5"/>
  <c r="AH18" i="5"/>
  <c r="AV16" i="5"/>
  <c r="AU16" i="5"/>
  <c r="AT16" i="5"/>
  <c r="AS16" i="5"/>
  <c r="AR16" i="5"/>
  <c r="AQ16" i="5"/>
  <c r="AP16" i="5"/>
  <c r="AO16" i="5"/>
  <c r="AN16" i="5"/>
  <c r="AM16" i="5"/>
  <c r="AL16" i="5"/>
  <c r="AK16" i="5"/>
  <c r="AJ16" i="5"/>
  <c r="AI16" i="5"/>
  <c r="AH16" i="5"/>
  <c r="AG16" i="5"/>
  <c r="I16" i="5"/>
  <c r="H16" i="5" s="1"/>
  <c r="AV15" i="5"/>
  <c r="AU15" i="5"/>
  <c r="AT15" i="5"/>
  <c r="AS15" i="5"/>
  <c r="AR15" i="5"/>
  <c r="AQ15" i="5"/>
  <c r="AP15" i="5"/>
  <c r="AO15" i="5"/>
  <c r="AN15" i="5"/>
  <c r="AM15" i="5"/>
  <c r="AL15" i="5"/>
  <c r="AK15" i="5"/>
  <c r="AJ15" i="5"/>
  <c r="AI15" i="5"/>
  <c r="AH15" i="5"/>
  <c r="AG15" i="5"/>
  <c r="I15" i="5"/>
  <c r="H15" i="5" s="1"/>
  <c r="AV14" i="5"/>
  <c r="AU14" i="5"/>
  <c r="AT14" i="5"/>
  <c r="AS14" i="5"/>
  <c r="AR14" i="5"/>
  <c r="AQ14" i="5"/>
  <c r="AP14" i="5"/>
  <c r="AO14" i="5"/>
  <c r="AN14" i="5"/>
  <c r="AM14" i="5"/>
  <c r="AL14" i="5"/>
  <c r="AK14" i="5"/>
  <c r="AJ14" i="5"/>
  <c r="AI14" i="5"/>
  <c r="AG14" i="5"/>
  <c r="AV13" i="5"/>
  <c r="AU13" i="5"/>
  <c r="AT13" i="5"/>
  <c r="AT12" i="5" s="1"/>
  <c r="AS13" i="5"/>
  <c r="AR13" i="5"/>
  <c r="AQ13" i="5"/>
  <c r="AP13" i="5"/>
  <c r="AP12" i="5" s="1"/>
  <c r="AO13" i="5"/>
  <c r="AN13" i="5"/>
  <c r="AM13" i="5"/>
  <c r="AL13" i="5"/>
  <c r="AL12" i="5" s="1"/>
  <c r="AK13" i="5"/>
  <c r="AJ13" i="5"/>
  <c r="AI13" i="5"/>
  <c r="AG13" i="5"/>
  <c r="AV10" i="5"/>
  <c r="AU10" i="5"/>
  <c r="AT10" i="5"/>
  <c r="AS10" i="5"/>
  <c r="AR10" i="5"/>
  <c r="AQ10" i="5"/>
  <c r="AP10" i="5"/>
  <c r="AO10" i="5"/>
  <c r="AO11" i="5" s="1"/>
  <c r="AN10" i="5"/>
  <c r="AM10" i="5"/>
  <c r="AL10" i="5"/>
  <c r="AK10" i="5"/>
  <c r="AJ10" i="5"/>
  <c r="AI10" i="5"/>
  <c r="AG10" i="5"/>
  <c r="AV9" i="5"/>
  <c r="AV7" i="5" s="1"/>
  <c r="AU9" i="5"/>
  <c r="AT9" i="5"/>
  <c r="AS9" i="5"/>
  <c r="AS7" i="5" s="1"/>
  <c r="AS11" i="5" s="1"/>
  <c r="AR9" i="5"/>
  <c r="AQ9" i="5"/>
  <c r="AP9" i="5"/>
  <c r="AO9" i="5"/>
  <c r="AO7" i="5" s="1"/>
  <c r="AN9" i="5"/>
  <c r="AN7" i="5" s="1"/>
  <c r="AM9" i="5"/>
  <c r="AL9" i="5"/>
  <c r="AK9" i="5"/>
  <c r="AK7" i="5" s="1"/>
  <c r="AJ9" i="5"/>
  <c r="AI9" i="5"/>
  <c r="AH9" i="5"/>
  <c r="AG9" i="5"/>
  <c r="I9" i="5"/>
  <c r="H9" i="5" s="1"/>
  <c r="AV8" i="5"/>
  <c r="AU8" i="5"/>
  <c r="AT8" i="5"/>
  <c r="AS8" i="5"/>
  <c r="AR8" i="5"/>
  <c r="AQ8" i="5"/>
  <c r="AQ7" i="5" s="1"/>
  <c r="AP8" i="5"/>
  <c r="AO8" i="5"/>
  <c r="AN8" i="5"/>
  <c r="AM8" i="5"/>
  <c r="AL8" i="5"/>
  <c r="AK8" i="5"/>
  <c r="AJ8" i="5"/>
  <c r="AI8" i="5"/>
  <c r="AI7" i="5" s="1"/>
  <c r="I8" i="5"/>
  <c r="H8" i="5" s="1"/>
  <c r="F8" i="5"/>
  <c r="AG8" i="5" s="1"/>
  <c r="AU7" i="5"/>
  <c r="AR7" i="5"/>
  <c r="AM7" i="5"/>
  <c r="AJ7" i="5"/>
  <c r="F7" i="5"/>
  <c r="D3" i="15" s="1"/>
  <c r="AH2" i="5"/>
  <c r="G8" i="5" s="1"/>
  <c r="AG2" i="5"/>
  <c r="C5" i="13" s="1"/>
  <c r="W106" i="4"/>
  <c r="V106" i="4"/>
  <c r="U106" i="4"/>
  <c r="T106" i="4"/>
  <c r="S106" i="4"/>
  <c r="R106" i="4"/>
  <c r="Q106" i="4"/>
  <c r="P106" i="4"/>
  <c r="O106" i="4"/>
  <c r="N106" i="4"/>
  <c r="M106" i="4"/>
  <c r="L106" i="4"/>
  <c r="K106" i="4"/>
  <c r="J106" i="4"/>
  <c r="I106" i="4"/>
  <c r="H106" i="4"/>
  <c r="V102" i="4"/>
  <c r="M102" i="4"/>
  <c r="I102" i="4"/>
  <c r="V99" i="4"/>
  <c r="U99" i="4"/>
  <c r="U102" i="4" s="1"/>
  <c r="R99" i="4"/>
  <c r="R102" i="4" s="1"/>
  <c r="Q99" i="4"/>
  <c r="Q102" i="4" s="1"/>
  <c r="P99" i="4"/>
  <c r="P102" i="4" s="1"/>
  <c r="M99" i="4"/>
  <c r="L99" i="4"/>
  <c r="L102" i="4" s="1"/>
  <c r="I99" i="4"/>
  <c r="H99" i="4"/>
  <c r="V91" i="4"/>
  <c r="AU75" i="5" s="1"/>
  <c r="U91" i="4"/>
  <c r="AT75" i="5" s="1"/>
  <c r="T91" i="4"/>
  <c r="AS75" i="5" s="1"/>
  <c r="H85" i="4"/>
  <c r="G84" i="4"/>
  <c r="F84" i="4"/>
  <c r="G82" i="4"/>
  <c r="F82" i="4"/>
  <c r="F81" i="4"/>
  <c r="H72" i="4"/>
  <c r="I72" i="4" s="1"/>
  <c r="J72" i="4" s="1"/>
  <c r="K72" i="4" s="1"/>
  <c r="L72" i="4" s="1"/>
  <c r="M72" i="4" s="1"/>
  <c r="N72" i="4" s="1"/>
  <c r="O72" i="4" s="1"/>
  <c r="P72" i="4" s="1"/>
  <c r="Q72" i="4" s="1"/>
  <c r="R72" i="4" s="1"/>
  <c r="S72" i="4" s="1"/>
  <c r="T72" i="4" s="1"/>
  <c r="U72" i="4" s="1"/>
  <c r="V72" i="4" s="1"/>
  <c r="W72" i="4" s="1"/>
  <c r="G72" i="4"/>
  <c r="F70" i="4"/>
  <c r="G69" i="4"/>
  <c r="H69" i="4" s="1"/>
  <c r="W68" i="4"/>
  <c r="V68" i="4"/>
  <c r="U68" i="4"/>
  <c r="T68" i="4"/>
  <c r="S68" i="4"/>
  <c r="R68" i="4"/>
  <c r="Q68" i="4"/>
  <c r="P68" i="4"/>
  <c r="O68" i="4"/>
  <c r="N68" i="4"/>
  <c r="M68" i="4"/>
  <c r="L68" i="4"/>
  <c r="K68" i="4"/>
  <c r="J68" i="4"/>
  <c r="I68" i="4"/>
  <c r="H68" i="4"/>
  <c r="H64" i="4"/>
  <c r="I64" i="4" s="1"/>
  <c r="J64" i="4" s="1"/>
  <c r="K64" i="4" s="1"/>
  <c r="L64" i="4" s="1"/>
  <c r="M64" i="4" s="1"/>
  <c r="N64" i="4" s="1"/>
  <c r="O64" i="4" s="1"/>
  <c r="P64" i="4" s="1"/>
  <c r="Q64" i="4" s="1"/>
  <c r="R64" i="4" s="1"/>
  <c r="S64" i="4" s="1"/>
  <c r="T64" i="4" s="1"/>
  <c r="U64" i="4" s="1"/>
  <c r="V64" i="4" s="1"/>
  <c r="W64" i="4" s="1"/>
  <c r="G64" i="4"/>
  <c r="F62" i="4"/>
  <c r="O61" i="4"/>
  <c r="M61" i="4"/>
  <c r="G61" i="4"/>
  <c r="G47" i="4"/>
  <c r="H47" i="4" s="1"/>
  <c r="I47" i="4" s="1"/>
  <c r="J47" i="4" s="1"/>
  <c r="K47" i="4" s="1"/>
  <c r="L47" i="4" s="1"/>
  <c r="M47" i="4" s="1"/>
  <c r="N47" i="4" s="1"/>
  <c r="O47" i="4" s="1"/>
  <c r="P47" i="4" s="1"/>
  <c r="Q47" i="4" s="1"/>
  <c r="R47" i="4" s="1"/>
  <c r="S47" i="4" s="1"/>
  <c r="T47" i="4" s="1"/>
  <c r="U47" i="4" s="1"/>
  <c r="V47" i="4" s="1"/>
  <c r="W47" i="4" s="1"/>
  <c r="F45" i="4"/>
  <c r="T44" i="4"/>
  <c r="U44" i="4" s="1"/>
  <c r="G44" i="4"/>
  <c r="H39" i="4"/>
  <c r="I39" i="4" s="1"/>
  <c r="J39" i="4" s="1"/>
  <c r="K39" i="4" s="1"/>
  <c r="L39" i="4" s="1"/>
  <c r="M39" i="4" s="1"/>
  <c r="N39" i="4" s="1"/>
  <c r="O39" i="4" s="1"/>
  <c r="P39" i="4" s="1"/>
  <c r="Q39" i="4" s="1"/>
  <c r="R39" i="4" s="1"/>
  <c r="S39" i="4" s="1"/>
  <c r="T39" i="4" s="1"/>
  <c r="U39" i="4" s="1"/>
  <c r="V39" i="4" s="1"/>
  <c r="W39" i="4" s="1"/>
  <c r="G39" i="4"/>
  <c r="T37" i="4"/>
  <c r="S37" i="4"/>
  <c r="P37" i="4"/>
  <c r="L37" i="4"/>
  <c r="K37" i="4"/>
  <c r="J36" i="4"/>
  <c r="I36" i="4" s="1"/>
  <c r="G36" i="4"/>
  <c r="T35" i="4"/>
  <c r="L35" i="4"/>
  <c r="F35" i="4"/>
  <c r="S35" i="4" s="1"/>
  <c r="H31" i="4"/>
  <c r="I31" i="4" s="1"/>
  <c r="J31" i="4" s="1"/>
  <c r="K31" i="4" s="1"/>
  <c r="L31" i="4" s="1"/>
  <c r="M31" i="4" s="1"/>
  <c r="N31" i="4" s="1"/>
  <c r="O31" i="4" s="1"/>
  <c r="P31" i="4" s="1"/>
  <c r="Q31" i="4" s="1"/>
  <c r="R31" i="4" s="1"/>
  <c r="S31" i="4" s="1"/>
  <c r="T31" i="4" s="1"/>
  <c r="U31" i="4" s="1"/>
  <c r="V31" i="4" s="1"/>
  <c r="W31" i="4" s="1"/>
  <c r="G31" i="4"/>
  <c r="F29" i="4"/>
  <c r="O28" i="4"/>
  <c r="M28" i="4"/>
  <c r="G28" i="4"/>
  <c r="P18" i="4"/>
  <c r="Q18" i="4" s="1"/>
  <c r="R18" i="4" s="1"/>
  <c r="S18" i="4" s="1"/>
  <c r="T18" i="4" s="1"/>
  <c r="U18" i="4" s="1"/>
  <c r="V18" i="4" s="1"/>
  <c r="W18" i="4" s="1"/>
  <c r="I18" i="4"/>
  <c r="J18" i="4" s="1"/>
  <c r="K18" i="4" s="1"/>
  <c r="L18" i="4" s="1"/>
  <c r="W16" i="4"/>
  <c r="W37" i="4" s="1"/>
  <c r="V16" i="4"/>
  <c r="V37" i="4" s="1"/>
  <c r="U16" i="4"/>
  <c r="U37" i="4" s="1"/>
  <c r="T16" i="4"/>
  <c r="S16" i="4"/>
  <c r="R16" i="4"/>
  <c r="R37" i="4" s="1"/>
  <c r="Q16" i="4"/>
  <c r="Q37" i="4" s="1"/>
  <c r="P16" i="4"/>
  <c r="O16" i="4"/>
  <c r="O37" i="4" s="1"/>
  <c r="N16" i="4"/>
  <c r="N37" i="4" s="1"/>
  <c r="M16" i="4"/>
  <c r="M37" i="4" s="1"/>
  <c r="L16" i="4"/>
  <c r="K16" i="4"/>
  <c r="J16" i="4"/>
  <c r="J15" i="4"/>
  <c r="J7" i="4" s="1"/>
  <c r="I15" i="4"/>
  <c r="I7" i="4" s="1"/>
  <c r="G15" i="4"/>
  <c r="P10" i="4"/>
  <c r="Q10" i="4" s="1"/>
  <c r="R10" i="4" s="1"/>
  <c r="S10" i="4" s="1"/>
  <c r="T10" i="4" s="1"/>
  <c r="U10" i="4" s="1"/>
  <c r="V10" i="4" s="1"/>
  <c r="W10" i="4" s="1"/>
  <c r="I10" i="4"/>
  <c r="J10" i="4" s="1"/>
  <c r="K10" i="4" s="1"/>
  <c r="L10" i="4" s="1"/>
  <c r="F8" i="4"/>
  <c r="G7" i="4"/>
  <c r="F6" i="4"/>
  <c r="T6" i="4" s="1"/>
  <c r="D54" i="1"/>
  <c r="E48" i="1"/>
  <c r="D48" i="1"/>
  <c r="D47" i="1"/>
  <c r="D45" i="1"/>
  <c r="E44" i="1"/>
  <c r="F39" i="1"/>
  <c r="E38" i="1"/>
  <c r="E33" i="1"/>
  <c r="D33" i="1"/>
  <c r="E30" i="1"/>
  <c r="N29" i="5" s="1"/>
  <c r="E25" i="1"/>
  <c r="D25" i="1"/>
  <c r="D23" i="1"/>
  <c r="D20" i="1"/>
  <c r="E19" i="1"/>
  <c r="D19" i="1"/>
  <c r="D11" i="1"/>
  <c r="D6" i="1"/>
  <c r="D53" i="1" s="1"/>
  <c r="D5" i="1"/>
  <c r="AO56" i="5" l="1"/>
  <c r="AP56" i="5"/>
  <c r="AH56" i="5"/>
  <c r="L56" i="5"/>
  <c r="AP39" i="5"/>
  <c r="L39" i="5"/>
  <c r="AK39" i="5"/>
  <c r="AO41" i="5"/>
  <c r="AN41" i="5"/>
  <c r="AQ41" i="5"/>
  <c r="AM41" i="5"/>
  <c r="AV41" i="5"/>
  <c r="AR41" i="5"/>
  <c r="AJ41" i="5"/>
  <c r="I41" i="5"/>
  <c r="H41" i="5" s="1"/>
  <c r="AI41" i="5"/>
  <c r="AQ17" i="5"/>
  <c r="AT33" i="5"/>
  <c r="AL63" i="5"/>
  <c r="I7" i="5"/>
  <c r="H7" i="5" s="1"/>
  <c r="AL7" i="5"/>
  <c r="AP7" i="5"/>
  <c r="AT7" i="5"/>
  <c r="AI12" i="5"/>
  <c r="AM12" i="5"/>
  <c r="AQ12" i="5"/>
  <c r="AU12" i="5"/>
  <c r="AJ11" i="5"/>
  <c r="AJ6" i="5" s="1"/>
  <c r="H5" i="7" s="1"/>
  <c r="AN11" i="5"/>
  <c r="AR11" i="5"/>
  <c r="AV11" i="5"/>
  <c r="AJ12" i="5"/>
  <c r="AN12" i="5"/>
  <c r="AR12" i="5"/>
  <c r="AV12" i="5"/>
  <c r="AK12" i="5"/>
  <c r="AO12" i="5"/>
  <c r="AO6" i="5" s="1"/>
  <c r="AS12" i="5"/>
  <c r="AU28" i="5"/>
  <c r="L41" i="5"/>
  <c r="AS47" i="5"/>
  <c r="Q8" i="7" s="1"/>
  <c r="R9" i="10" s="1"/>
  <c r="AU51" i="5"/>
  <c r="AL61" i="5"/>
  <c r="AQ61" i="5"/>
  <c r="H63" i="5"/>
  <c r="AG53" i="5"/>
  <c r="AO63" i="5"/>
  <c r="AG12" i="5"/>
  <c r="AK17" i="5"/>
  <c r="AO17" i="5"/>
  <c r="AS17" i="5"/>
  <c r="Q6" i="7" s="1"/>
  <c r="AL17" i="5"/>
  <c r="AP17" i="5"/>
  <c r="N6" i="7" s="1"/>
  <c r="AT17" i="5"/>
  <c r="AS53" i="5"/>
  <c r="I63" i="5"/>
  <c r="AH63" i="5"/>
  <c r="AP63" i="5"/>
  <c r="C28" i="8"/>
  <c r="C26" i="7"/>
  <c r="D19" i="10" s="1"/>
  <c r="I69" i="4"/>
  <c r="H71" i="4"/>
  <c r="AG64" i="5"/>
  <c r="AG52" i="5" s="1"/>
  <c r="E9" i="7" s="1"/>
  <c r="O6" i="7"/>
  <c r="N53" i="5"/>
  <c r="E20" i="1"/>
  <c r="G81" i="4"/>
  <c r="F79" i="4"/>
  <c r="AU76" i="5"/>
  <c r="AU74" i="5" s="1"/>
  <c r="S17" i="7" s="1"/>
  <c r="H102" i="4"/>
  <c r="H7" i="9"/>
  <c r="I6" i="10"/>
  <c r="K44" i="5"/>
  <c r="L44" i="5" s="1"/>
  <c r="AQ80" i="5"/>
  <c r="AM80" i="5"/>
  <c r="AI80" i="5"/>
  <c r="AN80" i="5"/>
  <c r="AJ80" i="5"/>
  <c r="F80" i="5" s="1"/>
  <c r="H80" i="5" s="1"/>
  <c r="AK80" i="5"/>
  <c r="K80" i="5"/>
  <c r="AL80" i="5"/>
  <c r="AP80" i="5"/>
  <c r="AH80" i="5"/>
  <c r="D4" i="1"/>
  <c r="K50" i="5" s="1"/>
  <c r="H6" i="4"/>
  <c r="J37" i="4"/>
  <c r="F37" i="4" s="1"/>
  <c r="F16" i="4"/>
  <c r="O35" i="4"/>
  <c r="G6" i="7"/>
  <c r="AJ17" i="5"/>
  <c r="AR17" i="5"/>
  <c r="AO58" i="5"/>
  <c r="AK58" i="5"/>
  <c r="AP58" i="5"/>
  <c r="AL58" i="5"/>
  <c r="AH58" i="5"/>
  <c r="I58" i="5"/>
  <c r="H58" i="5" s="1"/>
  <c r="AM58" i="5"/>
  <c r="AV58" i="5"/>
  <c r="AN58" i="5"/>
  <c r="AR58" i="5"/>
  <c r="AJ58" i="5"/>
  <c r="AI58" i="5"/>
  <c r="AO80" i="5"/>
  <c r="E23" i="1"/>
  <c r="K53" i="5"/>
  <c r="D31" i="1"/>
  <c r="N41" i="5"/>
  <c r="F43" i="4"/>
  <c r="L6" i="4"/>
  <c r="K35" i="4"/>
  <c r="AG7" i="5"/>
  <c r="AG6" i="5" s="1"/>
  <c r="AH8" i="5"/>
  <c r="AH7" i="5" s="1"/>
  <c r="AS6" i="5"/>
  <c r="AI11" i="5"/>
  <c r="AI6" i="5" s="1"/>
  <c r="AM11" i="5"/>
  <c r="AQ11" i="5"/>
  <c r="AQ6" i="5" s="1"/>
  <c r="AU11" i="5"/>
  <c r="AU6" i="5" s="1"/>
  <c r="AK11" i="5"/>
  <c r="AK6" i="5" s="1"/>
  <c r="AU45" i="5"/>
  <c r="AU27" i="5" s="1"/>
  <c r="F43" i="5"/>
  <c r="AG47" i="5"/>
  <c r="E8" i="7" s="1"/>
  <c r="AS64" i="5"/>
  <c r="AS52" i="5" s="1"/>
  <c r="Q9" i="7" s="1"/>
  <c r="U6" i="4"/>
  <c r="Q6" i="4"/>
  <c r="M6" i="4"/>
  <c r="I6" i="4"/>
  <c r="V6" i="4"/>
  <c r="R6" i="4"/>
  <c r="N6" i="4"/>
  <c r="J6" i="4"/>
  <c r="O6" i="4"/>
  <c r="W6" i="4"/>
  <c r="S6" i="7"/>
  <c r="J6" i="7"/>
  <c r="R6" i="7"/>
  <c r="AV54" i="5"/>
  <c r="AR54" i="5"/>
  <c r="AN54" i="5"/>
  <c r="AJ54" i="5"/>
  <c r="I54" i="5"/>
  <c r="AO54" i="5"/>
  <c r="AK54" i="5"/>
  <c r="AP54" i="5"/>
  <c r="AH54" i="5"/>
  <c r="AQ54" i="5"/>
  <c r="AI54" i="5"/>
  <c r="L54" i="5"/>
  <c r="AM54" i="5"/>
  <c r="F53" i="5"/>
  <c r="G13" i="11"/>
  <c r="H30" i="10"/>
  <c r="P6" i="4"/>
  <c r="I9" i="4"/>
  <c r="U35" i="4"/>
  <c r="G30" i="8" s="1"/>
  <c r="Q35" i="4"/>
  <c r="M35" i="4"/>
  <c r="I35" i="4"/>
  <c r="I38" i="4" s="1"/>
  <c r="I40" i="4" s="1"/>
  <c r="I42" i="4" s="1"/>
  <c r="V35" i="4"/>
  <c r="R35" i="4"/>
  <c r="N35" i="4"/>
  <c r="J35" i="4"/>
  <c r="J38" i="4" s="1"/>
  <c r="J40" i="4" s="1"/>
  <c r="J42" i="4" s="1"/>
  <c r="W35" i="4"/>
  <c r="AN17" i="5"/>
  <c r="AV17" i="5"/>
  <c r="Q10" i="9"/>
  <c r="R7" i="10"/>
  <c r="Q8" i="9"/>
  <c r="O29" i="5"/>
  <c r="N30" i="5"/>
  <c r="O30" i="5" s="1"/>
  <c r="F38" i="1"/>
  <c r="E47" i="1"/>
  <c r="E46" i="1" s="1"/>
  <c r="D46" i="1"/>
  <c r="K6" i="4"/>
  <c r="S6" i="4"/>
  <c r="K15" i="4"/>
  <c r="P28" i="4"/>
  <c r="H35" i="4"/>
  <c r="P35" i="4"/>
  <c r="V44" i="4"/>
  <c r="P61" i="4"/>
  <c r="AL11" i="5"/>
  <c r="AL6" i="5" s="1"/>
  <c r="AP11" i="5"/>
  <c r="AP6" i="5" s="1"/>
  <c r="AT11" i="5"/>
  <c r="AT6" i="5" s="1"/>
  <c r="K6" i="7"/>
  <c r="I6" i="7"/>
  <c r="M6" i="7"/>
  <c r="AT28" i="5"/>
  <c r="AT51" i="5"/>
  <c r="AT47" i="5" s="1"/>
  <c r="R8" i="7" s="1"/>
  <c r="N55" i="5"/>
  <c r="O55" i="5" s="1"/>
  <c r="O54" i="5"/>
  <c r="AT53" i="5"/>
  <c r="AQ58" i="5"/>
  <c r="F34" i="5"/>
  <c r="L34" i="5" s="1"/>
  <c r="AQ35" i="5"/>
  <c r="AM35" i="5"/>
  <c r="AI35" i="5"/>
  <c r="AV35" i="5"/>
  <c r="AR35" i="5"/>
  <c r="AN35" i="5"/>
  <c r="AJ35" i="5"/>
  <c r="I35" i="5"/>
  <c r="H35" i="5" s="1"/>
  <c r="AO35" i="5"/>
  <c r="AL39" i="5"/>
  <c r="AT76" i="5"/>
  <c r="AT74" i="5" s="1"/>
  <c r="R17" i="7" s="1"/>
  <c r="G31" i="5"/>
  <c r="F29" i="5"/>
  <c r="AS28" i="5"/>
  <c r="AG33" i="5"/>
  <c r="AG28" i="5" s="1"/>
  <c r="L35" i="5"/>
  <c r="AK35" i="5"/>
  <c r="AH39" i="5"/>
  <c r="AU47" i="5"/>
  <c r="S8" i="7" s="1"/>
  <c r="C21" i="13"/>
  <c r="AM39" i="5"/>
  <c r="AI39" i="5"/>
  <c r="AV39" i="5"/>
  <c r="AN39" i="5"/>
  <c r="AJ39" i="5"/>
  <c r="I39" i="5"/>
  <c r="H39" i="5" s="1"/>
  <c r="O39" i="5"/>
  <c r="AQ56" i="5"/>
  <c r="AM56" i="5"/>
  <c r="AI56" i="5"/>
  <c r="AV56" i="5"/>
  <c r="AR56" i="5"/>
  <c r="AN56" i="5"/>
  <c r="AJ56" i="5"/>
  <c r="I56" i="5"/>
  <c r="H56" i="5" s="1"/>
  <c r="AK56" i="5"/>
  <c r="R21" i="9"/>
  <c r="S17" i="10"/>
  <c r="AS76" i="5"/>
  <c r="AS74" i="5" s="1"/>
  <c r="Q17" i="7" s="1"/>
  <c r="AH35" i="5"/>
  <c r="AP35" i="5"/>
  <c r="AO39" i="5"/>
  <c r="AU53" i="5"/>
  <c r="AL56" i="5"/>
  <c r="T17" i="10"/>
  <c r="S21" i="9"/>
  <c r="AH41" i="5"/>
  <c r="AL41" i="5"/>
  <c r="AP41" i="5"/>
  <c r="AJ63" i="5"/>
  <c r="AN63" i="5"/>
  <c r="AR63" i="5"/>
  <c r="AV63" i="5"/>
  <c r="F34" i="7"/>
  <c r="F27" i="10"/>
  <c r="E19" i="11"/>
  <c r="E8" i="8"/>
  <c r="AK41" i="5"/>
  <c r="AJ61" i="5"/>
  <c r="AN61" i="5"/>
  <c r="AR61" i="5"/>
  <c r="AI63" i="5"/>
  <c r="AM63" i="5"/>
  <c r="Q21" i="9"/>
  <c r="R17" i="10"/>
  <c r="T8" i="11"/>
  <c r="F5" i="17"/>
  <c r="F4" i="17"/>
  <c r="D8" i="8"/>
  <c r="AO53" i="5" l="1"/>
  <c r="AM53" i="5"/>
  <c r="AH53" i="5"/>
  <c r="I53" i="5"/>
  <c r="AV53" i="5"/>
  <c r="AV6" i="5"/>
  <c r="T5" i="7" s="1"/>
  <c r="AN6" i="5"/>
  <c r="L5" i="7" s="1"/>
  <c r="O34" i="5"/>
  <c r="AL53" i="5"/>
  <c r="AM6" i="5"/>
  <c r="AR6" i="5"/>
  <c r="P5" i="7" s="1"/>
  <c r="R5" i="7"/>
  <c r="AL64" i="5"/>
  <c r="AL52" i="5" s="1"/>
  <c r="J9" i="7" s="1"/>
  <c r="S7" i="7"/>
  <c r="AG45" i="5"/>
  <c r="AG27" i="5" s="1"/>
  <c r="E7" i="7" s="1"/>
  <c r="S15" i="10"/>
  <c r="R15" i="9"/>
  <c r="S9" i="10"/>
  <c r="R10" i="9"/>
  <c r="F10" i="10"/>
  <c r="E11" i="9"/>
  <c r="N5" i="7"/>
  <c r="S15" i="9"/>
  <c r="T15" i="10"/>
  <c r="J5" i="7"/>
  <c r="R10" i="10"/>
  <c r="Q11" i="9"/>
  <c r="I5" i="7"/>
  <c r="L6" i="7"/>
  <c r="AH64" i="5"/>
  <c r="AH52" i="5" s="1"/>
  <c r="F9" i="7" s="1"/>
  <c r="AV64" i="5"/>
  <c r="AV52" i="5" s="1"/>
  <c r="T9" i="7" s="1"/>
  <c r="G5" i="7"/>
  <c r="K64" i="5"/>
  <c r="L53" i="5"/>
  <c r="F26" i="8"/>
  <c r="H9" i="4"/>
  <c r="S5" i="7"/>
  <c r="F19" i="11"/>
  <c r="G27" i="10"/>
  <c r="R15" i="10"/>
  <c r="Q15" i="9"/>
  <c r="T9" i="10"/>
  <c r="S10" i="9"/>
  <c r="J7" i="10"/>
  <c r="I8" i="9"/>
  <c r="AP53" i="5"/>
  <c r="T7" i="10"/>
  <c r="S8" i="9"/>
  <c r="AQ43" i="5"/>
  <c r="AM43" i="5"/>
  <c r="AI43" i="5"/>
  <c r="AV43" i="5"/>
  <c r="AR43" i="5"/>
  <c r="AN43" i="5"/>
  <c r="AJ43" i="5"/>
  <c r="I43" i="5"/>
  <c r="H43" i="5" s="1"/>
  <c r="AL43" i="5"/>
  <c r="AO43" i="5"/>
  <c r="AK43" i="5"/>
  <c r="AP43" i="5"/>
  <c r="AH43" i="5"/>
  <c r="Q5" i="7"/>
  <c r="V43" i="4"/>
  <c r="R43" i="4"/>
  <c r="R46" i="4" s="1"/>
  <c r="R48" i="4" s="1"/>
  <c r="R50" i="4" s="1"/>
  <c r="N43" i="4"/>
  <c r="N46" i="4" s="1"/>
  <c r="N48" i="4" s="1"/>
  <c r="N50" i="4" s="1"/>
  <c r="J43" i="4"/>
  <c r="J46" i="4" s="1"/>
  <c r="J48" i="4" s="1"/>
  <c r="J50" i="4" s="1"/>
  <c r="W43" i="4"/>
  <c r="S43" i="4"/>
  <c r="S46" i="4" s="1"/>
  <c r="S48" i="4" s="1"/>
  <c r="S50" i="4" s="1"/>
  <c r="O43" i="4"/>
  <c r="O46" i="4" s="1"/>
  <c r="O48" i="4" s="1"/>
  <c r="O50" i="4" s="1"/>
  <c r="K43" i="4"/>
  <c r="K46" i="4" s="1"/>
  <c r="K48" i="4" s="1"/>
  <c r="K50" i="4" s="1"/>
  <c r="U43" i="4"/>
  <c r="U46" i="4" s="1"/>
  <c r="U48" i="4" s="1"/>
  <c r="U50" i="4" s="1"/>
  <c r="M43" i="4"/>
  <c r="M46" i="4" s="1"/>
  <c r="M48" i="4" s="1"/>
  <c r="M50" i="4" s="1"/>
  <c r="Q43" i="4"/>
  <c r="Q46" i="4" s="1"/>
  <c r="Q48" i="4" s="1"/>
  <c r="Q50" i="4" s="1"/>
  <c r="I43" i="4"/>
  <c r="I46" i="4" s="1"/>
  <c r="I48" i="4" s="1"/>
  <c r="I50" i="4" s="1"/>
  <c r="P43" i="4"/>
  <c r="P46" i="4" s="1"/>
  <c r="P48" i="4" s="1"/>
  <c r="P50" i="4" s="1"/>
  <c r="H43" i="4"/>
  <c r="T43" i="4"/>
  <c r="L43" i="4"/>
  <c r="L46" i="4" s="1"/>
  <c r="L48" i="4" s="1"/>
  <c r="L50" i="4" s="1"/>
  <c r="G8" i="9"/>
  <c r="H7" i="10"/>
  <c r="D5" i="8"/>
  <c r="AV29" i="5"/>
  <c r="AR29" i="5"/>
  <c r="AN29" i="5"/>
  <c r="AJ29" i="5"/>
  <c r="I29" i="5"/>
  <c r="H29" i="5" s="1"/>
  <c r="AO29" i="5"/>
  <c r="AK29" i="5"/>
  <c r="AQ29" i="5"/>
  <c r="AI29" i="5"/>
  <c r="L29" i="5"/>
  <c r="AP29" i="5"/>
  <c r="AH29" i="5"/>
  <c r="AL29" i="5"/>
  <c r="AM29" i="5"/>
  <c r="AT64" i="5"/>
  <c r="AT52" i="5" s="1"/>
  <c r="R9" i="7" s="1"/>
  <c r="Q61" i="4"/>
  <c r="Q28" i="4"/>
  <c r="T6" i="7"/>
  <c r="H54" i="5"/>
  <c r="AQ53" i="5"/>
  <c r="AO64" i="5"/>
  <c r="AO52" i="5" s="1"/>
  <c r="M9" i="7" s="1"/>
  <c r="AR53" i="5"/>
  <c r="S7" i="10"/>
  <c r="R8" i="9"/>
  <c r="K5" i="7"/>
  <c r="K31" i="5"/>
  <c r="E31" i="1"/>
  <c r="D29" i="1"/>
  <c r="D18" i="1"/>
  <c r="E18" i="1" s="1"/>
  <c r="O7" i="10"/>
  <c r="N8" i="9"/>
  <c r="O53" i="5"/>
  <c r="N64" i="5"/>
  <c r="O64" i="5" s="1"/>
  <c r="O8" i="9"/>
  <c r="P7" i="10"/>
  <c r="E5" i="8"/>
  <c r="C20" i="13"/>
  <c r="F31" i="5"/>
  <c r="AT45" i="5"/>
  <c r="AT27" i="5" s="1"/>
  <c r="L7" i="10"/>
  <c r="K8" i="9"/>
  <c r="V46" i="4"/>
  <c r="V48" i="4" s="1"/>
  <c r="V50" i="4" s="1"/>
  <c r="W44" i="4"/>
  <c r="W46" i="4" s="1"/>
  <c r="W48" i="4" s="1"/>
  <c r="W50" i="4" s="1"/>
  <c r="L15" i="4"/>
  <c r="K7" i="4"/>
  <c r="K9" i="4" s="1"/>
  <c r="K36" i="4"/>
  <c r="K38" i="4" s="1"/>
  <c r="K40" i="4" s="1"/>
  <c r="K42" i="4" s="1"/>
  <c r="E56" i="1"/>
  <c r="E42" i="1"/>
  <c r="D49" i="1"/>
  <c r="D50" i="1" s="1"/>
  <c r="AM52" i="5"/>
  <c r="K9" i="7" s="1"/>
  <c r="AM64" i="5"/>
  <c r="E10" i="9"/>
  <c r="F9" i="10"/>
  <c r="G26" i="8"/>
  <c r="AU64" i="5"/>
  <c r="AU52" i="5" s="1"/>
  <c r="I11" i="4"/>
  <c r="AJ53" i="5"/>
  <c r="E5" i="7"/>
  <c r="P6" i="7"/>
  <c r="H73" i="4"/>
  <c r="AS45" i="5"/>
  <c r="AS27" i="5" s="1"/>
  <c r="AP34" i="5"/>
  <c r="AP33" i="5" s="1"/>
  <c r="AL34" i="5"/>
  <c r="AL33" i="5" s="1"/>
  <c r="AH34" i="5"/>
  <c r="AH33" i="5" s="1"/>
  <c r="AQ34" i="5"/>
  <c r="AQ33" i="5" s="1"/>
  <c r="AM34" i="5"/>
  <c r="AM33" i="5" s="1"/>
  <c r="AI34" i="5"/>
  <c r="AI33" i="5" s="1"/>
  <c r="H34" i="5"/>
  <c r="F33" i="5"/>
  <c r="AN34" i="5"/>
  <c r="AN33" i="5" s="1"/>
  <c r="AO34" i="5"/>
  <c r="AO33" i="5" s="1"/>
  <c r="AK34" i="5"/>
  <c r="AK33" i="5" s="1"/>
  <c r="AR34" i="5"/>
  <c r="AR33" i="5" s="1"/>
  <c r="I34" i="5"/>
  <c r="AJ34" i="5"/>
  <c r="AJ33" i="5" s="1"/>
  <c r="AV34" i="5"/>
  <c r="AV33" i="5" s="1"/>
  <c r="N7" i="10"/>
  <c r="M8" i="9"/>
  <c r="F30" i="8"/>
  <c r="H38" i="4"/>
  <c r="H53" i="5"/>
  <c r="F64" i="5"/>
  <c r="AI53" i="5"/>
  <c r="AK53" i="5"/>
  <c r="AN53" i="5"/>
  <c r="K7" i="10"/>
  <c r="J8" i="9"/>
  <c r="O5" i="7"/>
  <c r="M5" i="7"/>
  <c r="N42" i="5"/>
  <c r="O42" i="5" s="1"/>
  <c r="O41" i="5"/>
  <c r="H6" i="7"/>
  <c r="F50" i="5"/>
  <c r="L80" i="5"/>
  <c r="L43" i="5"/>
  <c r="J9" i="4"/>
  <c r="J69" i="4"/>
  <c r="I71" i="4"/>
  <c r="I73" i="4" s="1"/>
  <c r="P7" i="9" l="1"/>
  <c r="Q6" i="10"/>
  <c r="M6" i="10"/>
  <c r="L7" i="9"/>
  <c r="U6" i="10"/>
  <c r="T7" i="9"/>
  <c r="S9" i="7"/>
  <c r="AU66" i="5"/>
  <c r="S11" i="7" s="1"/>
  <c r="AU65" i="5"/>
  <c r="G10" i="10"/>
  <c r="F11" i="9"/>
  <c r="T11" i="9"/>
  <c r="U10" i="10"/>
  <c r="F8" i="10"/>
  <c r="E9" i="9"/>
  <c r="I64" i="5"/>
  <c r="I52" i="5" s="1"/>
  <c r="H40" i="4"/>
  <c r="K11" i="4"/>
  <c r="R7" i="7"/>
  <c r="R10" i="7" s="1"/>
  <c r="AT66" i="5"/>
  <c r="R11" i="7" s="1"/>
  <c r="AT65" i="5"/>
  <c r="L6" i="10"/>
  <c r="K7" i="9"/>
  <c r="G31" i="8"/>
  <c r="T46" i="4"/>
  <c r="T48" i="4" s="1"/>
  <c r="L64" i="5"/>
  <c r="J11" i="4"/>
  <c r="C30" i="8"/>
  <c r="AJ64" i="5"/>
  <c r="AJ52" i="5"/>
  <c r="H9" i="7" s="1"/>
  <c r="L36" i="4"/>
  <c r="L38" i="4" s="1"/>
  <c r="L40" i="4" s="1"/>
  <c r="L42" i="4" s="1"/>
  <c r="L7" i="4"/>
  <c r="L9" i="4" s="1"/>
  <c r="M15" i="4"/>
  <c r="R61" i="4"/>
  <c r="F31" i="8"/>
  <c r="H46" i="4"/>
  <c r="I75" i="4"/>
  <c r="N6" i="10"/>
  <c r="M7" i="9"/>
  <c r="F52" i="5"/>
  <c r="H75" i="4"/>
  <c r="L10" i="10"/>
  <c r="K11" i="9"/>
  <c r="AR64" i="5"/>
  <c r="AR52" i="5" s="1"/>
  <c r="P9" i="7" s="1"/>
  <c r="T8" i="9"/>
  <c r="U7" i="10"/>
  <c r="R28" i="4"/>
  <c r="S10" i="10"/>
  <c r="R11" i="9"/>
  <c r="H6" i="10"/>
  <c r="G7" i="9"/>
  <c r="M7" i="10"/>
  <c r="L8" i="9"/>
  <c r="J6" i="10"/>
  <c r="I7" i="9"/>
  <c r="J71" i="4"/>
  <c r="K69" i="4"/>
  <c r="AN64" i="5"/>
  <c r="AN52" i="5" s="1"/>
  <c r="L9" i="7" s="1"/>
  <c r="F56" i="8"/>
  <c r="G56" i="8"/>
  <c r="D56" i="8"/>
  <c r="C56" i="8" s="1"/>
  <c r="E56" i="8"/>
  <c r="O33" i="5"/>
  <c r="I33" i="5"/>
  <c r="H33" i="5" s="1"/>
  <c r="L33" i="5"/>
  <c r="Q7" i="7"/>
  <c r="AS66" i="5"/>
  <c r="Q11" i="7" s="1"/>
  <c r="AS65" i="5"/>
  <c r="Q7" i="10"/>
  <c r="P8" i="9"/>
  <c r="D17" i="1"/>
  <c r="D28" i="1"/>
  <c r="D27" i="1" s="1"/>
  <c r="F43" i="1"/>
  <c r="N10" i="10"/>
  <c r="M11" i="9"/>
  <c r="R6" i="10"/>
  <c r="Q7" i="9"/>
  <c r="K10" i="10"/>
  <c r="J11" i="9"/>
  <c r="AP50" i="5"/>
  <c r="AL50" i="5"/>
  <c r="AH50" i="5"/>
  <c r="AQ50" i="5"/>
  <c r="AM50" i="5"/>
  <c r="AI50" i="5"/>
  <c r="AN50" i="5"/>
  <c r="AO50" i="5"/>
  <c r="AK50" i="5"/>
  <c r="I50" i="5"/>
  <c r="H50" i="5" s="1"/>
  <c r="AJ50" i="5"/>
  <c r="AV50" i="5"/>
  <c r="AR50" i="5"/>
  <c r="P6" i="10"/>
  <c r="O7" i="9"/>
  <c r="AK64" i="5"/>
  <c r="AK52" i="5" s="1"/>
  <c r="I9" i="7" s="1"/>
  <c r="F42" i="1"/>
  <c r="N37" i="5"/>
  <c r="D42" i="1"/>
  <c r="E40" i="1"/>
  <c r="F27" i="4"/>
  <c r="N31" i="5"/>
  <c r="E29" i="1"/>
  <c r="F14" i="4"/>
  <c r="H11" i="4"/>
  <c r="K6" i="10"/>
  <c r="J7" i="9"/>
  <c r="O6" i="10"/>
  <c r="N7" i="9"/>
  <c r="S6" i="10"/>
  <c r="R7" i="9"/>
  <c r="L50" i="5"/>
  <c r="I7" i="10"/>
  <c r="H8" i="9"/>
  <c r="AI64" i="5"/>
  <c r="AI52" i="5" s="1"/>
  <c r="G9" i="7" s="1"/>
  <c r="F6" i="10"/>
  <c r="E7" i="9"/>
  <c r="I13" i="4"/>
  <c r="C34" i="13"/>
  <c r="F60" i="4"/>
  <c r="E54" i="1"/>
  <c r="AP31" i="5"/>
  <c r="AL31" i="5"/>
  <c r="AH31" i="5"/>
  <c r="AQ31" i="5"/>
  <c r="AM31" i="5"/>
  <c r="AI31" i="5"/>
  <c r="AV31" i="5"/>
  <c r="AR31" i="5"/>
  <c r="AJ31" i="5"/>
  <c r="I31" i="5"/>
  <c r="H31" i="5" s="1"/>
  <c r="AK31" i="5"/>
  <c r="AO31" i="5"/>
  <c r="AN31" i="5"/>
  <c r="L31" i="5"/>
  <c r="K32" i="5"/>
  <c r="L32" i="5" s="1"/>
  <c r="AQ64" i="5"/>
  <c r="AQ52" i="5" s="1"/>
  <c r="O9" i="7" s="1"/>
  <c r="AP64" i="5"/>
  <c r="AP52" i="5" s="1"/>
  <c r="N9" i="7" s="1"/>
  <c r="T6" i="10"/>
  <c r="S7" i="9"/>
  <c r="C26" i="8"/>
  <c r="T8" i="10"/>
  <c r="S9" i="9"/>
  <c r="D61" i="8" l="1"/>
  <c r="C61" i="8" s="1"/>
  <c r="H64" i="5"/>
  <c r="Q10" i="10"/>
  <c r="P11" i="9"/>
  <c r="O10" i="10"/>
  <c r="N11" i="9"/>
  <c r="J10" i="10"/>
  <c r="I11" i="9"/>
  <c r="H10" i="10"/>
  <c r="G11" i="9"/>
  <c r="C9" i="7"/>
  <c r="L11" i="9"/>
  <c r="M10" i="10"/>
  <c r="N32" i="5"/>
  <c r="O32" i="5" s="1"/>
  <c r="O31" i="5"/>
  <c r="N28" i="5"/>
  <c r="K13" i="5"/>
  <c r="D21" i="1"/>
  <c r="D4" i="6"/>
  <c r="H13" i="4"/>
  <c r="U27" i="4"/>
  <c r="U51" i="4" s="1"/>
  <c r="Q27" i="4"/>
  <c r="M27" i="4"/>
  <c r="I27" i="4"/>
  <c r="V27" i="4"/>
  <c r="V51" i="4" s="1"/>
  <c r="R27" i="4"/>
  <c r="R51" i="4" s="1"/>
  <c r="N27" i="4"/>
  <c r="J27" i="4"/>
  <c r="P27" i="4"/>
  <c r="H27" i="4"/>
  <c r="W27" i="4"/>
  <c r="W51" i="4" s="1"/>
  <c r="O27" i="4"/>
  <c r="T27" i="4"/>
  <c r="L27" i="4"/>
  <c r="S27" i="4"/>
  <c r="S51" i="4" s="1"/>
  <c r="K27" i="4"/>
  <c r="F51" i="4"/>
  <c r="P10" i="10"/>
  <c r="O11" i="9"/>
  <c r="E28" i="1"/>
  <c r="E27" i="1" s="1"/>
  <c r="E17" i="1"/>
  <c r="K37" i="5"/>
  <c r="D40" i="1"/>
  <c r="F10" i="5"/>
  <c r="D16" i="1"/>
  <c r="S11" i="10"/>
  <c r="R12" i="9"/>
  <c r="F46" i="4"/>
  <c r="G46" i="4" s="1"/>
  <c r="H48" i="4"/>
  <c r="L11" i="4"/>
  <c r="S8" i="10"/>
  <c r="R9" i="9"/>
  <c r="H42" i="4"/>
  <c r="N38" i="5"/>
  <c r="O38" i="5" s="1"/>
  <c r="C31" i="8"/>
  <c r="S61" i="4"/>
  <c r="G37" i="8"/>
  <c r="T50" i="4"/>
  <c r="K71" i="4"/>
  <c r="K73" i="4" s="1"/>
  <c r="L69" i="4"/>
  <c r="I10" i="10"/>
  <c r="H11" i="9"/>
  <c r="K13" i="4"/>
  <c r="U60" i="4"/>
  <c r="Q60" i="4"/>
  <c r="Q63" i="4" s="1"/>
  <c r="Q65" i="4" s="1"/>
  <c r="Q67" i="4" s="1"/>
  <c r="M60" i="4"/>
  <c r="M63" i="4" s="1"/>
  <c r="M65" i="4" s="1"/>
  <c r="M67" i="4" s="1"/>
  <c r="I60" i="4"/>
  <c r="I63" i="4" s="1"/>
  <c r="I65" i="4" s="1"/>
  <c r="V60" i="4"/>
  <c r="R60" i="4"/>
  <c r="R63" i="4" s="1"/>
  <c r="R65" i="4" s="1"/>
  <c r="R67" i="4" s="1"/>
  <c r="N60" i="4"/>
  <c r="N63" i="4" s="1"/>
  <c r="N65" i="4" s="1"/>
  <c r="N67" i="4" s="1"/>
  <c r="J60" i="4"/>
  <c r="J63" i="4" s="1"/>
  <c r="J65" i="4" s="1"/>
  <c r="J67" i="4" s="1"/>
  <c r="P60" i="4"/>
  <c r="P63" i="4" s="1"/>
  <c r="P65" i="4" s="1"/>
  <c r="P67" i="4" s="1"/>
  <c r="H60" i="4"/>
  <c r="W60" i="4"/>
  <c r="O60" i="4"/>
  <c r="O63" i="4" s="1"/>
  <c r="O65" i="4" s="1"/>
  <c r="O67" i="4" s="1"/>
  <c r="L60" i="4"/>
  <c r="L63" i="4" s="1"/>
  <c r="L65" i="4" s="1"/>
  <c r="L67" i="4" s="1"/>
  <c r="S60" i="4"/>
  <c r="K60" i="4"/>
  <c r="K63" i="4" s="1"/>
  <c r="K65" i="4" s="1"/>
  <c r="K67" i="4" s="1"/>
  <c r="T60" i="4"/>
  <c r="C53" i="8"/>
  <c r="D53" i="8" s="1"/>
  <c r="R6" i="9"/>
  <c r="T14" i="4"/>
  <c r="P14" i="4"/>
  <c r="P23" i="4" s="1"/>
  <c r="L14" i="4"/>
  <c r="H14" i="4"/>
  <c r="U14" i="4"/>
  <c r="U23" i="4" s="1"/>
  <c r="Q14" i="4"/>
  <c r="Q23" i="4" s="1"/>
  <c r="M14" i="4"/>
  <c r="M23" i="4" s="1"/>
  <c r="I14" i="4"/>
  <c r="V14" i="4"/>
  <c r="V23" i="4" s="1"/>
  <c r="N14" i="4"/>
  <c r="N23" i="4" s="1"/>
  <c r="J14" i="4"/>
  <c r="W14" i="4"/>
  <c r="W23" i="4" s="1"/>
  <c r="O14" i="4"/>
  <c r="O23" i="4" s="1"/>
  <c r="S14" i="4"/>
  <c r="S23" i="4" s="1"/>
  <c r="K14" i="4"/>
  <c r="R14" i="4"/>
  <c r="R23" i="4" s="1"/>
  <c r="F23" i="4"/>
  <c r="E24" i="1"/>
  <c r="E37" i="1"/>
  <c r="E22" i="1" s="1"/>
  <c r="R8" i="10"/>
  <c r="Q9" i="9"/>
  <c r="Q6" i="9" s="1"/>
  <c r="Q10" i="7"/>
  <c r="J73" i="4"/>
  <c r="R30" i="4"/>
  <c r="S28" i="4"/>
  <c r="H52" i="5"/>
  <c r="M36" i="4"/>
  <c r="M38" i="4" s="1"/>
  <c r="M40" i="4" s="1"/>
  <c r="M42" i="4" s="1"/>
  <c r="M7" i="4"/>
  <c r="M9" i="4" s="1"/>
  <c r="M17" i="4"/>
  <c r="N15" i="4"/>
  <c r="J13" i="4"/>
  <c r="T10" i="10"/>
  <c r="S11" i="9"/>
  <c r="S6" i="9" s="1"/>
  <c r="S10" i="7"/>
  <c r="R11" i="10" l="1"/>
  <c r="Q12" i="9"/>
  <c r="R76" i="4"/>
  <c r="R55" i="4"/>
  <c r="R86" i="4" s="1"/>
  <c r="R22" i="4"/>
  <c r="I17" i="4"/>
  <c r="I23" i="4"/>
  <c r="F27" i="8"/>
  <c r="H17" i="4"/>
  <c r="H23" i="4"/>
  <c r="L13" i="4"/>
  <c r="I10" i="5"/>
  <c r="F11" i="5"/>
  <c r="H11" i="5" s="1"/>
  <c r="E26" i="1"/>
  <c r="E16" i="1"/>
  <c r="E15" i="1" s="1"/>
  <c r="K30" i="4"/>
  <c r="K51" i="4"/>
  <c r="O51" i="4"/>
  <c r="O30" i="4"/>
  <c r="J30" i="4"/>
  <c r="J51" i="4"/>
  <c r="I51" i="4"/>
  <c r="I30" i="4"/>
  <c r="N46" i="5"/>
  <c r="N45" i="5"/>
  <c r="J17" i="4"/>
  <c r="E53" i="8"/>
  <c r="D6" i="8"/>
  <c r="M51" i="4"/>
  <c r="M30" i="4"/>
  <c r="J75" i="4"/>
  <c r="F76" i="4"/>
  <c r="O55" i="4"/>
  <c r="O86" i="4" s="1"/>
  <c r="O22" i="4"/>
  <c r="O76" i="4"/>
  <c r="V76" i="4"/>
  <c r="V55" i="4"/>
  <c r="V86" i="4" s="1"/>
  <c r="V22" i="4"/>
  <c r="U76" i="4"/>
  <c r="U55" i="4"/>
  <c r="U86" i="4" s="1"/>
  <c r="U22" i="4"/>
  <c r="G27" i="8"/>
  <c r="T23" i="4"/>
  <c r="D5" i="6"/>
  <c r="N13" i="5"/>
  <c r="E21" i="1"/>
  <c r="G29" i="8"/>
  <c r="T51" i="4"/>
  <c r="P51" i="4"/>
  <c r="P55" i="4" s="1"/>
  <c r="P86" i="4" s="1"/>
  <c r="P30" i="4"/>
  <c r="F13" i="5"/>
  <c r="D11" i="9"/>
  <c r="D10" i="10"/>
  <c r="N17" i="4"/>
  <c r="N19" i="4" s="1"/>
  <c r="N21" i="4" s="1"/>
  <c r="O15" i="4"/>
  <c r="N36" i="4"/>
  <c r="N38" i="4" s="1"/>
  <c r="N7" i="4"/>
  <c r="N9" i="4" s="1"/>
  <c r="S30" i="4"/>
  <c r="T28" i="4"/>
  <c r="W55" i="4"/>
  <c r="W86" i="4" s="1"/>
  <c r="W22" i="4"/>
  <c r="W76" i="4"/>
  <c r="F54" i="8"/>
  <c r="H63" i="4"/>
  <c r="R32" i="4"/>
  <c r="K17" i="4"/>
  <c r="K23" i="4"/>
  <c r="M76" i="4"/>
  <c r="M22" i="4"/>
  <c r="M55" i="4"/>
  <c r="M86" i="4" s="1"/>
  <c r="L23" i="4"/>
  <c r="L17" i="4"/>
  <c r="M69" i="4"/>
  <c r="L71" i="4"/>
  <c r="D37" i="1"/>
  <c r="D24" i="1"/>
  <c r="N30" i="4"/>
  <c r="N51" i="4"/>
  <c r="N55" i="4" s="1"/>
  <c r="N86" i="4" s="1"/>
  <c r="S12" i="9"/>
  <c r="T11" i="10"/>
  <c r="M25" i="4"/>
  <c r="M11" i="4"/>
  <c r="S55" i="4"/>
  <c r="S86" i="4" s="1"/>
  <c r="S22" i="4"/>
  <c r="S76" i="4"/>
  <c r="N76" i="4"/>
  <c r="N22" i="4"/>
  <c r="Q76" i="4"/>
  <c r="Q22" i="4"/>
  <c r="P22" i="4"/>
  <c r="P76" i="4"/>
  <c r="G54" i="8"/>
  <c r="I67" i="4"/>
  <c r="K75" i="4"/>
  <c r="S63" i="4"/>
  <c r="S65" i="4" s="1"/>
  <c r="S67" i="4" s="1"/>
  <c r="T61" i="4"/>
  <c r="F37" i="8"/>
  <c r="C37" i="8" s="1"/>
  <c r="F48" i="4"/>
  <c r="H50" i="4"/>
  <c r="F50" i="4" s="1"/>
  <c r="P19" i="13"/>
  <c r="G7" i="5"/>
  <c r="C19" i="13"/>
  <c r="F37" i="5"/>
  <c r="L37" i="5"/>
  <c r="K38" i="5"/>
  <c r="L38" i="5" s="1"/>
  <c r="K28" i="5"/>
  <c r="L51" i="4"/>
  <c r="L30" i="4"/>
  <c r="F29" i="8"/>
  <c r="H51" i="4"/>
  <c r="H30" i="4"/>
  <c r="Q51" i="4"/>
  <c r="Q55" i="4" s="1"/>
  <c r="Q86" i="4" s="1"/>
  <c r="Q30" i="4"/>
  <c r="K45" i="5" l="1"/>
  <c r="K46" i="5"/>
  <c r="M13" i="4"/>
  <c r="D22" i="1"/>
  <c r="D15" i="1" s="1"/>
  <c r="D26" i="1"/>
  <c r="U28" i="4"/>
  <c r="T30" i="4"/>
  <c r="AH13" i="5"/>
  <c r="I13" i="5"/>
  <c r="H13" i="5" s="1"/>
  <c r="T55" i="4"/>
  <c r="T86" i="4" s="1"/>
  <c r="T22" i="4"/>
  <c r="T76" i="4"/>
  <c r="C29" i="8"/>
  <c r="G48" i="4"/>
  <c r="F44" i="4"/>
  <c r="M24" i="4"/>
  <c r="L73" i="4"/>
  <c r="K19" i="4"/>
  <c r="K25" i="4"/>
  <c r="G4" i="8"/>
  <c r="J53" i="4"/>
  <c r="J52" i="4" s="1"/>
  <c r="J32" i="4"/>
  <c r="C27" i="8"/>
  <c r="F4" i="8"/>
  <c r="C4" i="8" s="1"/>
  <c r="H32" i="4"/>
  <c r="H53" i="4"/>
  <c r="H52" i="4" s="1"/>
  <c r="AO37" i="5"/>
  <c r="AO28" i="5" s="1"/>
  <c r="AK37" i="5"/>
  <c r="AK28" i="5" s="1"/>
  <c r="AP37" i="5"/>
  <c r="AP28" i="5" s="1"/>
  <c r="AL37" i="5"/>
  <c r="AL28" i="5" s="1"/>
  <c r="AH37" i="5"/>
  <c r="AH28" i="5" s="1"/>
  <c r="AM37" i="5"/>
  <c r="AM28" i="5" s="1"/>
  <c r="AV37" i="5"/>
  <c r="AV28" i="5" s="1"/>
  <c r="AJ37" i="5"/>
  <c r="AJ28" i="5" s="1"/>
  <c r="AN37" i="5"/>
  <c r="AN28" i="5" s="1"/>
  <c r="AR37" i="5"/>
  <c r="AR28" i="5" s="1"/>
  <c r="I37" i="5"/>
  <c r="I28" i="5" s="1"/>
  <c r="AQ37" i="5"/>
  <c r="AQ28" i="5" s="1"/>
  <c r="AI37" i="5"/>
  <c r="AI28" i="5" s="1"/>
  <c r="F28" i="5"/>
  <c r="O37" i="5"/>
  <c r="L19" i="4"/>
  <c r="L25" i="4"/>
  <c r="R34" i="4"/>
  <c r="C54" i="8"/>
  <c r="N40" i="4"/>
  <c r="P32" i="4"/>
  <c r="F53" i="8"/>
  <c r="G53" i="8" s="1"/>
  <c r="E6" i="8"/>
  <c r="H10" i="5"/>
  <c r="H55" i="4"/>
  <c r="H86" i="4" s="1"/>
  <c r="H76" i="4"/>
  <c r="I19" i="4"/>
  <c r="I25" i="4"/>
  <c r="K55" i="4"/>
  <c r="K86" i="4" s="1"/>
  <c r="K22" i="4"/>
  <c r="K76" i="4"/>
  <c r="AH11" i="5"/>
  <c r="AH6" i="5" s="1"/>
  <c r="U61" i="4"/>
  <c r="T63" i="4"/>
  <c r="T65" i="4" s="1"/>
  <c r="L55" i="4"/>
  <c r="L86" i="4" s="1"/>
  <c r="L22" i="4"/>
  <c r="L76" i="4"/>
  <c r="O17" i="4"/>
  <c r="O19" i="4" s="1"/>
  <c r="O21" i="4" s="1"/>
  <c r="P15" i="4"/>
  <c r="O36" i="4"/>
  <c r="O38" i="4" s="1"/>
  <c r="O40" i="4" s="1"/>
  <c r="O42" i="4" s="1"/>
  <c r="O7" i="4"/>
  <c r="O9" i="4" s="1"/>
  <c r="O13" i="5"/>
  <c r="AG78" i="5"/>
  <c r="M53" i="4"/>
  <c r="M52" i="4" s="1"/>
  <c r="M32" i="4"/>
  <c r="J76" i="4"/>
  <c r="J55" i="4"/>
  <c r="J86" i="4" s="1"/>
  <c r="J22" i="4"/>
  <c r="H19" i="4"/>
  <c r="H25" i="4"/>
  <c r="Q32" i="4"/>
  <c r="M19" i="4"/>
  <c r="M21" i="4" s="1"/>
  <c r="S32" i="4"/>
  <c r="L13" i="5"/>
  <c r="J19" i="4"/>
  <c r="K32" i="4"/>
  <c r="K53" i="4"/>
  <c r="K52" i="4" s="1"/>
  <c r="L32" i="4"/>
  <c r="L53" i="4"/>
  <c r="L52" i="4" s="1"/>
  <c r="N53" i="4"/>
  <c r="N52" i="4" s="1"/>
  <c r="N32" i="4"/>
  <c r="N69" i="4"/>
  <c r="M71" i="4"/>
  <c r="M73" i="4" s="1"/>
  <c r="H65" i="4"/>
  <c r="N11" i="4"/>
  <c r="N25" i="4"/>
  <c r="I53" i="4"/>
  <c r="I52" i="4" s="1"/>
  <c r="I32" i="4"/>
  <c r="O32" i="4"/>
  <c r="O53" i="4"/>
  <c r="O52" i="4" s="1"/>
  <c r="C5" i="6"/>
  <c r="E5" i="6" s="1"/>
  <c r="N5" i="5"/>
  <c r="N14" i="5"/>
  <c r="I76" i="4"/>
  <c r="I55" i="4"/>
  <c r="I86" i="4" s="1"/>
  <c r="L54" i="4" l="1"/>
  <c r="L83" i="4" s="1"/>
  <c r="L34" i="4"/>
  <c r="F45" i="5"/>
  <c r="H28" i="5"/>
  <c r="O28" i="5"/>
  <c r="AP45" i="5"/>
  <c r="AP27" i="5" s="1"/>
  <c r="L75" i="4"/>
  <c r="M26" i="4"/>
  <c r="N15" i="5"/>
  <c r="O34" i="4"/>
  <c r="O54" i="4"/>
  <c r="O83" i="4" s="1"/>
  <c r="N57" i="4"/>
  <c r="N24" i="4"/>
  <c r="M75" i="4"/>
  <c r="K34" i="4"/>
  <c r="K54" i="4"/>
  <c r="K83" i="4" s="1"/>
  <c r="F22" i="4"/>
  <c r="P36" i="4"/>
  <c r="P38" i="4" s="1"/>
  <c r="P7" i="4"/>
  <c r="P9" i="4" s="1"/>
  <c r="P17" i="4"/>
  <c r="P19" i="4" s="1"/>
  <c r="P21" i="4" s="1"/>
  <c r="Q15" i="4"/>
  <c r="I57" i="4"/>
  <c r="I24" i="4"/>
  <c r="L21" i="4"/>
  <c r="L59" i="4" s="1"/>
  <c r="L26" i="4"/>
  <c r="AQ45" i="5"/>
  <c r="AQ27" i="5" s="1"/>
  <c r="AN45" i="5"/>
  <c r="AN27" i="5" s="1"/>
  <c r="AH45" i="5"/>
  <c r="AH27" i="5"/>
  <c r="F7" i="7" s="1"/>
  <c r="AO45" i="5"/>
  <c r="AO27" i="5"/>
  <c r="K21" i="4"/>
  <c r="K26" i="4"/>
  <c r="M57" i="4"/>
  <c r="G104" i="4"/>
  <c r="F46" i="5"/>
  <c r="F55" i="8"/>
  <c r="H67" i="4"/>
  <c r="F34" i="8"/>
  <c r="H21" i="4"/>
  <c r="H26" i="4"/>
  <c r="O11" i="4"/>
  <c r="O25" i="4"/>
  <c r="AR45" i="5"/>
  <c r="F35" i="8"/>
  <c r="H54" i="4"/>
  <c r="H34" i="4"/>
  <c r="N6" i="5"/>
  <c r="I54" i="4"/>
  <c r="I83" i="4" s="1"/>
  <c r="I34" i="4"/>
  <c r="N26" i="4"/>
  <c r="N13" i="4"/>
  <c r="N71" i="4"/>
  <c r="N73" i="4" s="1"/>
  <c r="O69" i="4"/>
  <c r="J57" i="4"/>
  <c r="J24" i="4"/>
  <c r="S34" i="4"/>
  <c r="H57" i="4"/>
  <c r="H24" i="4"/>
  <c r="T67" i="4"/>
  <c r="I21" i="4"/>
  <c r="I26" i="4"/>
  <c r="P34" i="4"/>
  <c r="AJ27" i="5"/>
  <c r="AJ45" i="5"/>
  <c r="AL45" i="5"/>
  <c r="AL27" i="5" s="1"/>
  <c r="K74" i="5"/>
  <c r="C4" i="6"/>
  <c r="E4" i="6" s="1"/>
  <c r="K83" i="5"/>
  <c r="K65" i="5"/>
  <c r="K27" i="5"/>
  <c r="K52" i="5"/>
  <c r="L52" i="5" s="1"/>
  <c r="K47" i="5"/>
  <c r="K77" i="5"/>
  <c r="K5" i="5"/>
  <c r="K14" i="5"/>
  <c r="K68" i="5"/>
  <c r="K17" i="5"/>
  <c r="L45" i="5"/>
  <c r="N34" i="4"/>
  <c r="N54" i="4"/>
  <c r="N83" i="4" s="1"/>
  <c r="J21" i="4"/>
  <c r="J26" i="4"/>
  <c r="V61" i="4"/>
  <c r="U63" i="4"/>
  <c r="AV45" i="5"/>
  <c r="AV27" i="5" s="1"/>
  <c r="T32" i="4"/>
  <c r="L28" i="5"/>
  <c r="Q34" i="4"/>
  <c r="M54" i="4"/>
  <c r="M83" i="4" s="1"/>
  <c r="M34" i="4"/>
  <c r="T85" i="4"/>
  <c r="AS78" i="5" s="1"/>
  <c r="P85" i="4"/>
  <c r="AO78" i="5" s="1"/>
  <c r="L85" i="4"/>
  <c r="AK78" i="5" s="1"/>
  <c r="U85" i="4"/>
  <c r="Q85" i="4"/>
  <c r="M85" i="4"/>
  <c r="I85" i="4"/>
  <c r="V85" i="4"/>
  <c r="AU78" i="5" s="1"/>
  <c r="N85" i="4"/>
  <c r="AM78" i="5" s="1"/>
  <c r="S85" i="4"/>
  <c r="J85" i="4"/>
  <c r="AI78" i="5" s="1"/>
  <c r="W85" i="4"/>
  <c r="O85" i="4"/>
  <c r="K85" i="4"/>
  <c r="R85" i="4"/>
  <c r="AQ78" i="5" s="1"/>
  <c r="N42" i="4"/>
  <c r="L57" i="4"/>
  <c r="L24" i="4"/>
  <c r="AI45" i="5"/>
  <c r="AI27" i="5" s="1"/>
  <c r="H37" i="5"/>
  <c r="AM45" i="5"/>
  <c r="AM27" i="5" s="1"/>
  <c r="AK45" i="5"/>
  <c r="AK27" i="5"/>
  <c r="J34" i="4"/>
  <c r="J54" i="4"/>
  <c r="J83" i="4" s="1"/>
  <c r="K24" i="4"/>
  <c r="K57" i="4"/>
  <c r="V28" i="4"/>
  <c r="U30" i="4"/>
  <c r="M59" i="4"/>
  <c r="T7" i="7" l="1"/>
  <c r="N7" i="7"/>
  <c r="L7" i="7"/>
  <c r="J7" i="7"/>
  <c r="O7" i="7"/>
  <c r="K7" i="7"/>
  <c r="U65" i="4"/>
  <c r="K84" i="5"/>
  <c r="H7" i="7"/>
  <c r="O26" i="4"/>
  <c r="O13" i="4"/>
  <c r="O59" i="4" s="1"/>
  <c r="M7" i="7"/>
  <c r="N52" i="5"/>
  <c r="O52" i="5" s="1"/>
  <c r="N51" i="5"/>
  <c r="N48" i="5"/>
  <c r="N47" i="5"/>
  <c r="N74" i="5"/>
  <c r="N27" i="5"/>
  <c r="N49" i="5"/>
  <c r="K6" i="5"/>
  <c r="N65" i="5"/>
  <c r="K75" i="5"/>
  <c r="H88" i="4"/>
  <c r="H56" i="4"/>
  <c r="J56" i="4"/>
  <c r="N59" i="4"/>
  <c r="H83" i="4"/>
  <c r="H59" i="4"/>
  <c r="AR46" i="5"/>
  <c r="AR27" i="5" s="1"/>
  <c r="I46" i="5"/>
  <c r="H46" i="5" s="1"/>
  <c r="O46" i="5"/>
  <c r="K58" i="4"/>
  <c r="K80" i="4"/>
  <c r="K89" i="4" s="1"/>
  <c r="F9" i="9"/>
  <c r="G8" i="10"/>
  <c r="P25" i="4"/>
  <c r="P11" i="4"/>
  <c r="H45" i="5"/>
  <c r="I45" i="5"/>
  <c r="O45" i="5"/>
  <c r="V30" i="4"/>
  <c r="W28" i="4"/>
  <c r="W30" i="4" s="1"/>
  <c r="G7" i="7"/>
  <c r="K69" i="5"/>
  <c r="K51" i="5"/>
  <c r="K48" i="5"/>
  <c r="I80" i="4"/>
  <c r="I89" i="4" s="1"/>
  <c r="I58" i="4"/>
  <c r="N89" i="4"/>
  <c r="N75" i="4"/>
  <c r="Q36" i="4"/>
  <c r="Q38" i="4" s="1"/>
  <c r="Q7" i="4"/>
  <c r="Q9" i="4" s="1"/>
  <c r="R15" i="4"/>
  <c r="Q17" i="4"/>
  <c r="I7" i="7"/>
  <c r="L88" i="4"/>
  <c r="L56" i="4"/>
  <c r="J80" i="4"/>
  <c r="J89" i="4" s="1"/>
  <c r="J58" i="4"/>
  <c r="U32" i="4"/>
  <c r="J59" i="4"/>
  <c r="J90" i="4" s="1"/>
  <c r="AI72" i="5" s="1"/>
  <c r="AI71" i="5" s="1"/>
  <c r="G16" i="7" s="1"/>
  <c r="K18" i="5"/>
  <c r="K81" i="5"/>
  <c r="K79" i="5"/>
  <c r="K82" i="5"/>
  <c r="K66" i="5"/>
  <c r="O71" i="4"/>
  <c r="P69" i="4"/>
  <c r="N80" i="4"/>
  <c r="N58" i="4"/>
  <c r="N7" i="5"/>
  <c r="O57" i="4"/>
  <c r="O24" i="4"/>
  <c r="L46" i="5"/>
  <c r="K59" i="4"/>
  <c r="K90" i="4" s="1"/>
  <c r="AJ72" i="5" s="1"/>
  <c r="AJ71" i="5" s="1"/>
  <c r="H16" i="7" s="1"/>
  <c r="I88" i="4"/>
  <c r="I56" i="4"/>
  <c r="P40" i="4"/>
  <c r="P53" i="4"/>
  <c r="P52" i="4" s="1"/>
  <c r="L90" i="4"/>
  <c r="AK72" i="5" s="1"/>
  <c r="AK71" i="5" s="1"/>
  <c r="I16" i="7" s="1"/>
  <c r="T104" i="4"/>
  <c r="U104" i="4"/>
  <c r="V104" i="4"/>
  <c r="L58" i="4"/>
  <c r="L80" i="4"/>
  <c r="L89" i="4" s="1"/>
  <c r="N56" i="4"/>
  <c r="N88" i="4"/>
  <c r="O15" i="5"/>
  <c r="N16" i="5"/>
  <c r="O16" i="5" s="1"/>
  <c r="K56" i="4"/>
  <c r="K88" i="4"/>
  <c r="T34" i="4"/>
  <c r="V63" i="4"/>
  <c r="V65" i="4" s="1"/>
  <c r="V67" i="4" s="1"/>
  <c r="W61" i="4"/>
  <c r="W63" i="4" s="1"/>
  <c r="W65" i="4" s="1"/>
  <c r="W67" i="4" s="1"/>
  <c r="L14" i="5"/>
  <c r="F14" i="5"/>
  <c r="K15" i="5"/>
  <c r="I59" i="4"/>
  <c r="I90" i="4" s="1"/>
  <c r="AH72" i="5" s="1"/>
  <c r="AH71" i="5" s="1"/>
  <c r="F16" i="7" s="1"/>
  <c r="H58" i="4"/>
  <c r="H80" i="4"/>
  <c r="F6" i="8"/>
  <c r="M88" i="4"/>
  <c r="M56" i="4"/>
  <c r="F78" i="5"/>
  <c r="M90" i="4"/>
  <c r="AL72" i="5" s="1"/>
  <c r="AL71" i="5" s="1"/>
  <c r="J16" i="7" s="1"/>
  <c r="M80" i="4"/>
  <c r="M89" i="4" s="1"/>
  <c r="M58" i="4"/>
  <c r="F27" i="5"/>
  <c r="L27" i="5" s="1"/>
  <c r="I27" i="5" l="1"/>
  <c r="P7" i="7"/>
  <c r="H13" i="10"/>
  <c r="G14" i="9"/>
  <c r="Q25" i="4"/>
  <c r="Q11" i="4"/>
  <c r="W32" i="4"/>
  <c r="N8" i="10"/>
  <c r="M9" i="9"/>
  <c r="H89" i="4"/>
  <c r="I14" i="9"/>
  <c r="J13" i="10"/>
  <c r="O7" i="5"/>
  <c r="N8" i="5"/>
  <c r="O73" i="4"/>
  <c r="F82" i="5"/>
  <c r="F18" i="5"/>
  <c r="L18" i="5" s="1"/>
  <c r="K19" i="5"/>
  <c r="U34" i="4"/>
  <c r="R17" i="4"/>
  <c r="R19" i="4" s="1"/>
  <c r="R21" i="4" s="1"/>
  <c r="S15" i="4"/>
  <c r="R7" i="4"/>
  <c r="R9" i="4" s="1"/>
  <c r="R36" i="4"/>
  <c r="R38" i="4" s="1"/>
  <c r="N90" i="4"/>
  <c r="AM72" i="5" s="1"/>
  <c r="AM71" i="5" s="1"/>
  <c r="K16" i="7" s="1"/>
  <c r="K70" i="5"/>
  <c r="H8" i="10"/>
  <c r="G9" i="9"/>
  <c r="C7" i="7"/>
  <c r="K76" i="5"/>
  <c r="I8" i="10"/>
  <c r="H9" i="9"/>
  <c r="U67" i="4"/>
  <c r="F67" i="4" s="1"/>
  <c r="G55" i="8"/>
  <c r="F65" i="4"/>
  <c r="G34" i="8"/>
  <c r="C34" i="8" s="1"/>
  <c r="J19" i="7"/>
  <c r="K49" i="5"/>
  <c r="F48" i="5"/>
  <c r="I13" i="10"/>
  <c r="H14" i="9"/>
  <c r="K67" i="5"/>
  <c r="L81" i="5"/>
  <c r="F81" i="5"/>
  <c r="G19" i="7"/>
  <c r="J8" i="10"/>
  <c r="I9" i="9"/>
  <c r="Q40" i="4"/>
  <c r="Q53" i="4"/>
  <c r="Q52" i="4" s="1"/>
  <c r="V32" i="4"/>
  <c r="F30" i="4"/>
  <c r="P26" i="4"/>
  <c r="P13" i="4"/>
  <c r="P59" i="4" s="1"/>
  <c r="H90" i="4"/>
  <c r="N66" i="5"/>
  <c r="O27" i="5"/>
  <c r="K85" i="5"/>
  <c r="L8" i="10"/>
  <c r="K9" i="9"/>
  <c r="P8" i="10"/>
  <c r="O9" i="9"/>
  <c r="K8" i="10"/>
  <c r="J9" i="9"/>
  <c r="M8" i="10"/>
  <c r="L9" i="9"/>
  <c r="N9" i="9"/>
  <c r="O8" i="10"/>
  <c r="U8" i="10"/>
  <c r="T9" i="9"/>
  <c r="G13" i="10"/>
  <c r="F14" i="9"/>
  <c r="O56" i="4"/>
  <c r="O88" i="4"/>
  <c r="K19" i="7"/>
  <c r="O48" i="5"/>
  <c r="K13" i="10"/>
  <c r="J14" i="9"/>
  <c r="K16" i="5"/>
  <c r="L16" i="5" s="1"/>
  <c r="L15" i="5"/>
  <c r="I19" i="7"/>
  <c r="H27" i="5"/>
  <c r="H78" i="5"/>
  <c r="L78" i="5"/>
  <c r="AH14" i="5"/>
  <c r="AH12" i="5" s="1"/>
  <c r="I14" i="5"/>
  <c r="H14" i="5" s="1"/>
  <c r="F12" i="5"/>
  <c r="O14" i="5"/>
  <c r="P42" i="4"/>
  <c r="P54" i="4"/>
  <c r="Q69" i="4"/>
  <c r="P71" i="4"/>
  <c r="P73" i="4" s="1"/>
  <c r="Q19" i="4"/>
  <c r="F19" i="7"/>
  <c r="P57" i="4"/>
  <c r="P24" i="4"/>
  <c r="H19" i="7"/>
  <c r="K7" i="5"/>
  <c r="L7" i="5" s="1"/>
  <c r="N75" i="5"/>
  <c r="O58" i="4"/>
  <c r="O80" i="4"/>
  <c r="F63" i="4"/>
  <c r="G63" i="4" s="1"/>
  <c r="F34" i="4" l="1"/>
  <c r="F5" i="7"/>
  <c r="H16" i="10"/>
  <c r="G16" i="9"/>
  <c r="I16" i="10"/>
  <c r="H16" i="9"/>
  <c r="V34" i="4"/>
  <c r="F32" i="4"/>
  <c r="G35" i="8"/>
  <c r="C35" i="8" s="1"/>
  <c r="Q42" i="4"/>
  <c r="Q54" i="4"/>
  <c r="Q83" i="4" s="1"/>
  <c r="AS81" i="5"/>
  <c r="AO81" i="5"/>
  <c r="AK81" i="5"/>
  <c r="AG81" i="5"/>
  <c r="AT81" i="5"/>
  <c r="AP81" i="5"/>
  <c r="AL81" i="5"/>
  <c r="AH81" i="5"/>
  <c r="AV81" i="5"/>
  <c r="AN81" i="5"/>
  <c r="AQ81" i="5"/>
  <c r="AI81" i="5"/>
  <c r="AM81" i="5"/>
  <c r="AR81" i="5"/>
  <c r="H81" i="5"/>
  <c r="AJ81" i="5"/>
  <c r="AU81" i="5"/>
  <c r="AQ48" i="5"/>
  <c r="AM48" i="5"/>
  <c r="AI48" i="5"/>
  <c r="AV48" i="5"/>
  <c r="AR48" i="5"/>
  <c r="AN48" i="5"/>
  <c r="AJ48" i="5"/>
  <c r="I48" i="5"/>
  <c r="H48" i="5" s="1"/>
  <c r="AP48" i="5"/>
  <c r="AH48" i="5"/>
  <c r="AK48" i="5"/>
  <c r="AO48" i="5"/>
  <c r="AL48" i="5"/>
  <c r="K71" i="5"/>
  <c r="S17" i="4"/>
  <c r="S19" i="4" s="1"/>
  <c r="S21" i="4" s="1"/>
  <c r="T15" i="4"/>
  <c r="S36" i="4"/>
  <c r="S38" i="4" s="1"/>
  <c r="S7" i="4"/>
  <c r="S9" i="4" s="1"/>
  <c r="F19" i="5"/>
  <c r="L19" i="5" s="1"/>
  <c r="K20" i="5"/>
  <c r="AU82" i="5"/>
  <c r="AQ82" i="5"/>
  <c r="AM82" i="5"/>
  <c r="AI82" i="5"/>
  <c r="AV82" i="5"/>
  <c r="AR82" i="5"/>
  <c r="AN82" i="5"/>
  <c r="AJ82" i="5"/>
  <c r="H82" i="5"/>
  <c r="AP82" i="5"/>
  <c r="AH82" i="5"/>
  <c r="AS82" i="5"/>
  <c r="AK82" i="5"/>
  <c r="AG82" i="5"/>
  <c r="AL82" i="5"/>
  <c r="AT82" i="5"/>
  <c r="AO82" i="5"/>
  <c r="Q57" i="4"/>
  <c r="Q24" i="4"/>
  <c r="F49" i="5"/>
  <c r="P83" i="4"/>
  <c r="P58" i="4"/>
  <c r="P80" i="4"/>
  <c r="P89" i="4" s="1"/>
  <c r="G6" i="8"/>
  <c r="C55" i="8"/>
  <c r="C6" i="8" s="1"/>
  <c r="R40" i="4"/>
  <c r="R53" i="4"/>
  <c r="R52" i="4" s="1"/>
  <c r="O89" i="4"/>
  <c r="O75" i="4"/>
  <c r="K8" i="5"/>
  <c r="Q21" i="4"/>
  <c r="K16" i="9"/>
  <c r="L16" i="10"/>
  <c r="N67" i="5"/>
  <c r="C58" i="8"/>
  <c r="D58" i="8" s="1"/>
  <c r="E58" i="8" s="1"/>
  <c r="F58" i="8" s="1"/>
  <c r="G58" i="8" s="1"/>
  <c r="G65" i="4"/>
  <c r="F61" i="4"/>
  <c r="L13" i="10"/>
  <c r="K14" i="9"/>
  <c r="AG18" i="5"/>
  <c r="H18" i="5"/>
  <c r="I18" i="5"/>
  <c r="W34" i="4"/>
  <c r="N76" i="5"/>
  <c r="P75" i="4"/>
  <c r="P90" i="4" s="1"/>
  <c r="AO72" i="5" s="1"/>
  <c r="AO71" i="5" s="1"/>
  <c r="M16" i="7" s="1"/>
  <c r="I12" i="5"/>
  <c r="I6" i="5" s="1"/>
  <c r="F6" i="5"/>
  <c r="P88" i="4"/>
  <c r="P56" i="4"/>
  <c r="F16" i="9"/>
  <c r="G16" i="10"/>
  <c r="R69" i="4"/>
  <c r="Q71" i="4"/>
  <c r="Q73" i="4" s="1"/>
  <c r="J16" i="10"/>
  <c r="I16" i="9"/>
  <c r="AG72" i="5"/>
  <c r="AG71" i="5" s="1"/>
  <c r="E16" i="7" s="1"/>
  <c r="G30" i="4"/>
  <c r="F67" i="5"/>
  <c r="L67" i="5" s="1"/>
  <c r="L48" i="5"/>
  <c r="J16" i="9"/>
  <c r="K16" i="10"/>
  <c r="D8" i="10"/>
  <c r="D9" i="9"/>
  <c r="R11" i="4"/>
  <c r="R25" i="4"/>
  <c r="L82" i="5"/>
  <c r="N9" i="5"/>
  <c r="N17" i="5"/>
  <c r="O8" i="5"/>
  <c r="E19" i="7"/>
  <c r="Q13" i="4"/>
  <c r="Q59" i="4" s="1"/>
  <c r="Q26" i="4"/>
  <c r="Q8" i="10"/>
  <c r="P9" i="9"/>
  <c r="H6" i="5" l="1"/>
  <c r="M19" i="7"/>
  <c r="F13" i="10"/>
  <c r="E14" i="9"/>
  <c r="R71" i="4"/>
  <c r="R73" i="4" s="1"/>
  <c r="S69" i="4"/>
  <c r="F16" i="10"/>
  <c r="E16" i="9"/>
  <c r="Q75" i="4"/>
  <c r="Q90" i="4" s="1"/>
  <c r="AP72" i="5" s="1"/>
  <c r="AP71" i="5" s="1"/>
  <c r="N16" i="7" s="1"/>
  <c r="O90" i="4"/>
  <c r="R42" i="4"/>
  <c r="R54" i="4"/>
  <c r="F36" i="8"/>
  <c r="AV49" i="5"/>
  <c r="AR49" i="5"/>
  <c r="AN49" i="5"/>
  <c r="AJ49" i="5"/>
  <c r="I49" i="5"/>
  <c r="H49" i="5" s="1"/>
  <c r="AO49" i="5"/>
  <c r="AO51" i="5" s="1"/>
  <c r="AO47" i="5" s="1"/>
  <c r="AK49" i="5"/>
  <c r="AM49" i="5"/>
  <c r="AP49" i="5"/>
  <c r="AH49" i="5"/>
  <c r="AL49" i="5"/>
  <c r="AI49" i="5"/>
  <c r="AI51" i="5" s="1"/>
  <c r="AI47" i="5" s="1"/>
  <c r="AQ49" i="5"/>
  <c r="O49" i="5"/>
  <c r="S40" i="4"/>
  <c r="S53" i="4"/>
  <c r="S52" i="4" s="1"/>
  <c r="F51" i="5"/>
  <c r="AM51" i="5"/>
  <c r="AM47" i="5" s="1"/>
  <c r="AS67" i="5"/>
  <c r="AO67" i="5"/>
  <c r="M12" i="7" s="1"/>
  <c r="AK67" i="5"/>
  <c r="I12" i="7" s="1"/>
  <c r="AG67" i="5"/>
  <c r="E12" i="7" s="1"/>
  <c r="H67" i="5"/>
  <c r="AT67" i="5"/>
  <c r="AP67" i="5"/>
  <c r="N12" i="7" s="1"/>
  <c r="AL67" i="5"/>
  <c r="J12" i="7" s="1"/>
  <c r="AH67" i="5"/>
  <c r="F12" i="7" s="1"/>
  <c r="I67" i="5"/>
  <c r="AV67" i="5"/>
  <c r="T12" i="7" s="1"/>
  <c r="AN67" i="5"/>
  <c r="L12" i="7" s="1"/>
  <c r="AM67" i="5"/>
  <c r="K12" i="7" s="1"/>
  <c r="AQ67" i="5"/>
  <c r="O12" i="7" s="1"/>
  <c r="AI67" i="5"/>
  <c r="G12" i="7" s="1"/>
  <c r="AU67" i="5"/>
  <c r="AJ67" i="5"/>
  <c r="H12" i="7" s="1"/>
  <c r="AR67" i="5"/>
  <c r="P12" i="7" s="1"/>
  <c r="AK51" i="5"/>
  <c r="Q80" i="4"/>
  <c r="Q89" i="4" s="1"/>
  <c r="Q58" i="4"/>
  <c r="O6" i="5"/>
  <c r="L6" i="5"/>
  <c r="L8" i="5"/>
  <c r="K9" i="5"/>
  <c r="Q88" i="4"/>
  <c r="Q56" i="4"/>
  <c r="H19" i="5"/>
  <c r="I19" i="5"/>
  <c r="AG19" i="5"/>
  <c r="AL51" i="5"/>
  <c r="AL47" i="5" s="1"/>
  <c r="F47" i="5"/>
  <c r="AJ51" i="5"/>
  <c r="AJ47" i="5" s="1"/>
  <c r="G32" i="4"/>
  <c r="F28" i="4"/>
  <c r="R57" i="4"/>
  <c r="R24" i="4"/>
  <c r="N13" i="10"/>
  <c r="M14" i="9"/>
  <c r="N68" i="5"/>
  <c r="O67" i="5"/>
  <c r="L19" i="7"/>
  <c r="K21" i="5"/>
  <c r="F20" i="5"/>
  <c r="L20" i="5" s="1"/>
  <c r="T36" i="4"/>
  <c r="T38" i="4" s="1"/>
  <c r="T7" i="4"/>
  <c r="T9" i="4" s="1"/>
  <c r="T17" i="4"/>
  <c r="T19" i="4" s="1"/>
  <c r="U15" i="4"/>
  <c r="AV51" i="5"/>
  <c r="AV47" i="5" s="1"/>
  <c r="AQ51" i="5"/>
  <c r="G6" i="10"/>
  <c r="F7" i="9"/>
  <c r="C5" i="7"/>
  <c r="N18" i="5"/>
  <c r="R26" i="4"/>
  <c r="R13" i="4"/>
  <c r="R59" i="4" s="1"/>
  <c r="O9" i="5"/>
  <c r="N10" i="5"/>
  <c r="H12" i="5"/>
  <c r="N77" i="5"/>
  <c r="F33" i="8"/>
  <c r="L49" i="5"/>
  <c r="S11" i="4"/>
  <c r="S25" i="4"/>
  <c r="AH51" i="5"/>
  <c r="AN51" i="5"/>
  <c r="AN47" i="5" s="1"/>
  <c r="AQ47" i="5" l="1"/>
  <c r="O8" i="7" s="1"/>
  <c r="AH47" i="5"/>
  <c r="F8" i="7" s="1"/>
  <c r="AP47" i="5"/>
  <c r="AP65" i="5" s="1"/>
  <c r="AR51" i="5"/>
  <c r="AR47" i="5" s="1"/>
  <c r="AP51" i="5"/>
  <c r="AK47" i="5"/>
  <c r="L8" i="7"/>
  <c r="AN65" i="5"/>
  <c r="AN5" i="5" s="1"/>
  <c r="O104" i="4"/>
  <c r="AN66" i="5"/>
  <c r="L11" i="7" s="1"/>
  <c r="J8" i="7"/>
  <c r="AL65" i="5"/>
  <c r="AL5" i="5" s="1"/>
  <c r="AL66" i="5"/>
  <c r="J11" i="7" s="1"/>
  <c r="M104" i="4"/>
  <c r="AQ66" i="5"/>
  <c r="O11" i="7" s="1"/>
  <c r="M8" i="7"/>
  <c r="AO66" i="5"/>
  <c r="M11" i="7" s="1"/>
  <c r="P104" i="4"/>
  <c r="AO5" i="5"/>
  <c r="AO65" i="5"/>
  <c r="I8" i="7"/>
  <c r="AK66" i="5"/>
  <c r="I11" i="7" s="1"/>
  <c r="AK65" i="5"/>
  <c r="L104" i="4"/>
  <c r="N19" i="7"/>
  <c r="G9" i="10"/>
  <c r="F10" i="9"/>
  <c r="AP66" i="5"/>
  <c r="N11" i="7" s="1"/>
  <c r="Q104" i="4"/>
  <c r="O10" i="5"/>
  <c r="N11" i="5"/>
  <c r="N19" i="5"/>
  <c r="O18" i="5"/>
  <c r="T40" i="4"/>
  <c r="T53" i="4"/>
  <c r="T52" i="4" s="1"/>
  <c r="L47" i="5"/>
  <c r="O47" i="5"/>
  <c r="S12" i="7"/>
  <c r="S4" i="7" s="1"/>
  <c r="S3" i="7" s="1"/>
  <c r="AU5" i="5"/>
  <c r="H51" i="5"/>
  <c r="I51" i="5"/>
  <c r="I47" i="5" s="1"/>
  <c r="H47" i="5" s="1"/>
  <c r="L51" i="5"/>
  <c r="O51" i="5"/>
  <c r="AN72" i="5"/>
  <c r="AN71" i="5" s="1"/>
  <c r="L16" i="7" s="1"/>
  <c r="G8" i="7"/>
  <c r="AI66" i="5"/>
  <c r="G11" i="7" s="1"/>
  <c r="AI65" i="5"/>
  <c r="AI5" i="5" s="1"/>
  <c r="J104" i="4"/>
  <c r="D6" i="10"/>
  <c r="D7" i="9"/>
  <c r="R56" i="4"/>
  <c r="R88" i="4"/>
  <c r="M16" i="10"/>
  <c r="L16" i="9"/>
  <c r="H8" i="7"/>
  <c r="AJ5" i="5"/>
  <c r="AJ65" i="5"/>
  <c r="AJ66" i="5"/>
  <c r="H11" i="7" s="1"/>
  <c r="K104" i="4"/>
  <c r="K8" i="7"/>
  <c r="N104" i="4"/>
  <c r="AM66" i="5"/>
  <c r="K11" i="7" s="1"/>
  <c r="AM65" i="5"/>
  <c r="S71" i="4"/>
  <c r="S73" i="4" s="1"/>
  <c r="T69" i="4"/>
  <c r="S57" i="4"/>
  <c r="S24" i="4"/>
  <c r="U36" i="4"/>
  <c r="U38" i="4" s="1"/>
  <c r="U7" i="4"/>
  <c r="U9" i="4" s="1"/>
  <c r="U17" i="4"/>
  <c r="U19" i="4" s="1"/>
  <c r="U21" i="4" s="1"/>
  <c r="V15" i="4"/>
  <c r="N69" i="5"/>
  <c r="K10" i="5"/>
  <c r="L9" i="5"/>
  <c r="Q12" i="7"/>
  <c r="Q4" i="7" s="1"/>
  <c r="Q3" i="7" s="1"/>
  <c r="AS5" i="5"/>
  <c r="R83" i="4"/>
  <c r="N16" i="10"/>
  <c r="M16" i="9"/>
  <c r="S26" i="4"/>
  <c r="S13" i="4"/>
  <c r="F32" i="8"/>
  <c r="R80" i="4"/>
  <c r="R89" i="4" s="1"/>
  <c r="R58" i="4"/>
  <c r="T8" i="7"/>
  <c r="W104" i="4"/>
  <c r="AV66" i="5"/>
  <c r="T11" i="7" s="1"/>
  <c r="AV65" i="5"/>
  <c r="T21" i="4"/>
  <c r="I20" i="5"/>
  <c r="H20" i="5"/>
  <c r="AG20" i="5"/>
  <c r="AH20" i="5"/>
  <c r="N78" i="5"/>
  <c r="T25" i="4"/>
  <c r="T11" i="4"/>
  <c r="F21" i="5"/>
  <c r="L21" i="5" s="1"/>
  <c r="K22" i="5"/>
  <c r="C45" i="8"/>
  <c r="D45" i="8" s="1"/>
  <c r="E45" i="8" s="1"/>
  <c r="F45" i="8" s="1"/>
  <c r="G45" i="8" s="1"/>
  <c r="C46" i="8"/>
  <c r="D46" i="8" s="1"/>
  <c r="E46" i="8" s="1"/>
  <c r="F46" i="8" s="1"/>
  <c r="G46" i="8" s="1"/>
  <c r="C10" i="6"/>
  <c r="R12" i="7"/>
  <c r="R4" i="7" s="1"/>
  <c r="R3" i="7" s="1"/>
  <c r="AT5" i="5"/>
  <c r="S42" i="4"/>
  <c r="S54" i="4"/>
  <c r="S83" i="4" s="1"/>
  <c r="O13" i="10"/>
  <c r="N14" i="9"/>
  <c r="R75" i="4"/>
  <c r="R90" i="4" s="1"/>
  <c r="AQ72" i="5" s="1"/>
  <c r="AQ71" i="5" s="1"/>
  <c r="O16" i="7" s="1"/>
  <c r="AR66" i="5" l="1"/>
  <c r="P11" i="7" s="1"/>
  <c r="AR65" i="5"/>
  <c r="P8" i="7"/>
  <c r="C8" i="7" s="1"/>
  <c r="S104" i="4"/>
  <c r="AK5" i="5"/>
  <c r="N8" i="7"/>
  <c r="R104" i="4"/>
  <c r="AQ65" i="5"/>
  <c r="AQ5" i="5" s="1"/>
  <c r="AV5" i="5"/>
  <c r="O19" i="7"/>
  <c r="O78" i="5"/>
  <c r="N79" i="5"/>
  <c r="U25" i="4"/>
  <c r="U11" i="4"/>
  <c r="D10" i="6"/>
  <c r="AG21" i="5"/>
  <c r="I21" i="5"/>
  <c r="AH21" i="5"/>
  <c r="H21" i="5"/>
  <c r="S58" i="4"/>
  <c r="S80" i="4"/>
  <c r="S89" i="4" s="1"/>
  <c r="K11" i="5"/>
  <c r="L10" i="5"/>
  <c r="S56" i="4"/>
  <c r="S88" i="4"/>
  <c r="C12" i="7"/>
  <c r="M10" i="9"/>
  <c r="M6" i="9" s="1"/>
  <c r="N9" i="10"/>
  <c r="M10" i="7"/>
  <c r="H9" i="10"/>
  <c r="G10" i="9"/>
  <c r="G6" i="9" s="1"/>
  <c r="G10" i="7"/>
  <c r="G4" i="7" s="1"/>
  <c r="G3" i="7" s="1"/>
  <c r="N12" i="5"/>
  <c r="O12" i="5" s="1"/>
  <c r="O11" i="5"/>
  <c r="F8" i="8"/>
  <c r="N70" i="5"/>
  <c r="S75" i="4"/>
  <c r="S90" i="4" s="1"/>
  <c r="AM5" i="5"/>
  <c r="AP5" i="5"/>
  <c r="J9" i="10"/>
  <c r="I10" i="9"/>
  <c r="I6" i="9" s="1"/>
  <c r="I10" i="7"/>
  <c r="I4" i="7" s="1"/>
  <c r="I3" i="7" s="1"/>
  <c r="K9" i="10"/>
  <c r="J10" i="9"/>
  <c r="J6" i="9" s="1"/>
  <c r="J10" i="7"/>
  <c r="J4" i="7" s="1"/>
  <c r="J3" i="7" s="1"/>
  <c r="U69" i="4"/>
  <c r="T71" i="4"/>
  <c r="T73" i="4" s="1"/>
  <c r="T42" i="4"/>
  <c r="T54" i="4"/>
  <c r="T83" i="4" s="1"/>
  <c r="N16" i="9"/>
  <c r="O16" i="10"/>
  <c r="P9" i="10"/>
  <c r="O10" i="9"/>
  <c r="O6" i="9" s="1"/>
  <c r="O10" i="7"/>
  <c r="O4" i="7" s="1"/>
  <c r="O3" i="7" s="1"/>
  <c r="T26" i="4"/>
  <c r="T13" i="4"/>
  <c r="U9" i="10"/>
  <c r="T10" i="9"/>
  <c r="T6" i="9" s="1"/>
  <c r="T10" i="7"/>
  <c r="T4" i="7" s="1"/>
  <c r="T3" i="7" s="1"/>
  <c r="U40" i="4"/>
  <c r="U53" i="4"/>
  <c r="U52" i="4" s="1"/>
  <c r="I9" i="10"/>
  <c r="H10" i="9"/>
  <c r="H6" i="9" s="1"/>
  <c r="H10" i="7"/>
  <c r="H4" i="7" s="1"/>
  <c r="H3" i="7" s="1"/>
  <c r="P13" i="10"/>
  <c r="O14" i="9"/>
  <c r="F22" i="5"/>
  <c r="L22" i="5" s="1"/>
  <c r="K23" i="5"/>
  <c r="T57" i="4"/>
  <c r="T24" i="4"/>
  <c r="S59" i="4"/>
  <c r="V17" i="4"/>
  <c r="V19" i="4" s="1"/>
  <c r="W15" i="4"/>
  <c r="V36" i="4"/>
  <c r="V7" i="4"/>
  <c r="V9" i="4" s="1"/>
  <c r="L9" i="10"/>
  <c r="K10" i="9"/>
  <c r="K6" i="9" s="1"/>
  <c r="K10" i="7"/>
  <c r="K4" i="7"/>
  <c r="K3" i="7" s="1"/>
  <c r="M13" i="10"/>
  <c r="L14" i="9"/>
  <c r="O19" i="5"/>
  <c r="N20" i="5"/>
  <c r="O9" i="10"/>
  <c r="N10" i="9"/>
  <c r="N6" i="9" s="1"/>
  <c r="N10" i="7"/>
  <c r="N4" i="7" s="1"/>
  <c r="N3" i="7" s="1"/>
  <c r="Q9" i="10"/>
  <c r="P10" i="9"/>
  <c r="P6" i="9" s="1"/>
  <c r="P10" i="7"/>
  <c r="M9" i="10"/>
  <c r="L10" i="9"/>
  <c r="L6" i="9" s="1"/>
  <c r="L10" i="7"/>
  <c r="L4" i="7" s="1"/>
  <c r="L3" i="7" s="1"/>
  <c r="AR5" i="5" l="1"/>
  <c r="P19" i="7"/>
  <c r="P12" i="9"/>
  <c r="Q11" i="10"/>
  <c r="P4" i="7"/>
  <c r="P3" i="7" s="1"/>
  <c r="O20" i="5"/>
  <c r="N21" i="5"/>
  <c r="W17" i="4"/>
  <c r="W7" i="4"/>
  <c r="W9" i="4" s="1"/>
  <c r="F23" i="5"/>
  <c r="K24" i="5"/>
  <c r="L23" i="5"/>
  <c r="T58" i="4"/>
  <c r="T80" i="4"/>
  <c r="V69" i="4"/>
  <c r="U71" i="4"/>
  <c r="U73" i="4" s="1"/>
  <c r="N71" i="5"/>
  <c r="N11" i="10"/>
  <c r="M12" i="9"/>
  <c r="U57" i="4"/>
  <c r="U24" i="4"/>
  <c r="O11" i="10"/>
  <c r="N12" i="9"/>
  <c r="N80" i="5"/>
  <c r="U11" i="10"/>
  <c r="T12" i="9"/>
  <c r="D9" i="10"/>
  <c r="D10" i="9"/>
  <c r="AR72" i="5"/>
  <c r="AR71" i="5" s="1"/>
  <c r="P16" i="7" s="1"/>
  <c r="F5" i="8"/>
  <c r="E10" i="6"/>
  <c r="M11" i="10"/>
  <c r="L12" i="9"/>
  <c r="V21" i="4"/>
  <c r="AG22" i="5"/>
  <c r="I22" i="5"/>
  <c r="H22" i="5" s="1"/>
  <c r="P16" i="10"/>
  <c r="O16" i="9"/>
  <c r="V11" i="4"/>
  <c r="V25" i="4"/>
  <c r="K12" i="9"/>
  <c r="L11" i="10"/>
  <c r="V38" i="4"/>
  <c r="W36" i="4"/>
  <c r="W38" i="4" s="1"/>
  <c r="T88" i="4"/>
  <c r="T56" i="4"/>
  <c r="I11" i="10"/>
  <c r="H12" i="9"/>
  <c r="U42" i="4"/>
  <c r="U54" i="4"/>
  <c r="T59" i="4"/>
  <c r="P11" i="10"/>
  <c r="O12" i="9"/>
  <c r="T75" i="4"/>
  <c r="T89" i="4"/>
  <c r="K11" i="10"/>
  <c r="J12" i="9"/>
  <c r="J11" i="10"/>
  <c r="I12" i="9"/>
  <c r="H11" i="10"/>
  <c r="G12" i="9"/>
  <c r="M4" i="7"/>
  <c r="M3" i="7" s="1"/>
  <c r="L11" i="5"/>
  <c r="K12" i="5"/>
  <c r="L12" i="5" s="1"/>
  <c r="U13" i="4"/>
  <c r="U26" i="4"/>
  <c r="U59" i="4" l="1"/>
  <c r="U83" i="4"/>
  <c r="U89" i="4" s="1"/>
  <c r="V40" i="4"/>
  <c r="V53" i="4"/>
  <c r="V52" i="4" s="1"/>
  <c r="V26" i="4"/>
  <c r="V13" i="4"/>
  <c r="O80" i="5"/>
  <c r="N81" i="5"/>
  <c r="V71" i="4"/>
  <c r="V73" i="4" s="1"/>
  <c r="W69" i="4"/>
  <c r="W71" i="4" s="1"/>
  <c r="W11" i="4"/>
  <c r="W25" i="4"/>
  <c r="F9" i="4"/>
  <c r="Q19" i="7"/>
  <c r="K25" i="5"/>
  <c r="F24" i="5"/>
  <c r="U88" i="4"/>
  <c r="U56" i="4"/>
  <c r="W19" i="4"/>
  <c r="F17" i="4"/>
  <c r="G17" i="4" s="1"/>
  <c r="Q16" i="10"/>
  <c r="P16" i="9"/>
  <c r="U80" i="4"/>
  <c r="U58" i="4"/>
  <c r="T90" i="4"/>
  <c r="W40" i="4"/>
  <c r="W53" i="4"/>
  <c r="W52" i="4" s="1"/>
  <c r="F38" i="4"/>
  <c r="V57" i="4"/>
  <c r="V24" i="4"/>
  <c r="Q13" i="10"/>
  <c r="P14" i="9"/>
  <c r="U75" i="4"/>
  <c r="U90" i="4" s="1"/>
  <c r="AT72" i="5" s="1"/>
  <c r="AT71" i="5" s="1"/>
  <c r="R16" i="7" s="1"/>
  <c r="I23" i="5"/>
  <c r="H23" i="5" s="1"/>
  <c r="AG23" i="5"/>
  <c r="AG17" i="5" s="1"/>
  <c r="N22" i="5"/>
  <c r="O21" i="5"/>
  <c r="R19" i="7" l="1"/>
  <c r="E6" i="7"/>
  <c r="AG66" i="5"/>
  <c r="E11" i="7" s="1"/>
  <c r="H104" i="4"/>
  <c r="AG65" i="5"/>
  <c r="N23" i="5"/>
  <c r="O22" i="5"/>
  <c r="F25" i="4"/>
  <c r="F24" i="4" s="1"/>
  <c r="F97" i="4" s="1"/>
  <c r="G9" i="4"/>
  <c r="V56" i="4"/>
  <c r="V88" i="4"/>
  <c r="AS72" i="5"/>
  <c r="AS71" i="5" s="1"/>
  <c r="Q16" i="7" s="1"/>
  <c r="I24" i="5"/>
  <c r="H24" i="5" s="1"/>
  <c r="AH24" i="5"/>
  <c r="W73" i="4"/>
  <c r="F71" i="4"/>
  <c r="G71" i="4" s="1"/>
  <c r="V59" i="4"/>
  <c r="S13" i="10"/>
  <c r="R14" i="9"/>
  <c r="G38" i="4"/>
  <c r="F53" i="4"/>
  <c r="F52" i="4" s="1"/>
  <c r="K26" i="5"/>
  <c r="F25" i="5"/>
  <c r="L25" i="5" s="1"/>
  <c r="V75" i="4"/>
  <c r="V80" i="4"/>
  <c r="V89" i="4" s="1"/>
  <c r="W57" i="4"/>
  <c r="W24" i="4"/>
  <c r="W42" i="4"/>
  <c r="F42" i="4" s="1"/>
  <c r="W54" i="4"/>
  <c r="F40" i="4"/>
  <c r="W21" i="4"/>
  <c r="F19" i="4"/>
  <c r="G33" i="8"/>
  <c r="C33" i="8" s="1"/>
  <c r="L24" i="5"/>
  <c r="R16" i="10"/>
  <c r="R14" i="10" s="1"/>
  <c r="Q16" i="9"/>
  <c r="W26" i="4"/>
  <c r="W13" i="4"/>
  <c r="W59" i="4" s="1"/>
  <c r="F59" i="4" s="1"/>
  <c r="F11" i="4"/>
  <c r="N82" i="5"/>
  <c r="O81" i="5"/>
  <c r="G32" i="8"/>
  <c r="V42" i="4"/>
  <c r="V54" i="4"/>
  <c r="V83" i="4" s="1"/>
  <c r="G36" i="8"/>
  <c r="C36" i="8" s="1"/>
  <c r="S19" i="7" l="1"/>
  <c r="N83" i="5"/>
  <c r="O82" i="5"/>
  <c r="G19" i="4"/>
  <c r="F15" i="4"/>
  <c r="F21" i="4"/>
  <c r="F18" i="4"/>
  <c r="W75" i="4"/>
  <c r="F73" i="4"/>
  <c r="G73" i="4" s="1"/>
  <c r="O23" i="5"/>
  <c r="N24" i="5"/>
  <c r="G11" i="4"/>
  <c r="F13" i="4"/>
  <c r="F10" i="4"/>
  <c r="F7" i="4"/>
  <c r="V90" i="4"/>
  <c r="F26" i="5"/>
  <c r="AG5" i="5"/>
  <c r="F7" i="10"/>
  <c r="E8" i="9"/>
  <c r="E6" i="9" s="1"/>
  <c r="E10" i="7"/>
  <c r="E4" i="7" s="1"/>
  <c r="G8" i="8"/>
  <c r="C32" i="8"/>
  <c r="G40" i="4"/>
  <c r="F36" i="4"/>
  <c r="W56" i="4"/>
  <c r="W88" i="4"/>
  <c r="F57" i="4"/>
  <c r="F56" i="4" s="1"/>
  <c r="Q14" i="9"/>
  <c r="R13" i="10"/>
  <c r="H98" i="4"/>
  <c r="W58" i="4"/>
  <c r="F58" i="4" s="1"/>
  <c r="G58" i="4" s="1"/>
  <c r="W80" i="4"/>
  <c r="F80" i="4" s="1"/>
  <c r="F26" i="4"/>
  <c r="G26" i="4" s="1"/>
  <c r="W83" i="4"/>
  <c r="F83" i="4" s="1"/>
  <c r="G83" i="4" s="1"/>
  <c r="F54" i="4"/>
  <c r="G54" i="4" s="1"/>
  <c r="V58" i="4"/>
  <c r="AH25" i="5"/>
  <c r="I25" i="5"/>
  <c r="H25" i="5" s="1"/>
  <c r="H105" i="4"/>
  <c r="R16" i="9"/>
  <c r="S16" i="10"/>
  <c r="S14" i="10" s="1"/>
  <c r="G5" i="8" l="1"/>
  <c r="E23" i="8"/>
  <c r="D23" i="8"/>
  <c r="E25" i="8"/>
  <c r="C8" i="8"/>
  <c r="C5" i="8" s="1"/>
  <c r="D25" i="8"/>
  <c r="G23" i="8"/>
  <c r="AH26" i="5"/>
  <c r="AH17" i="5" s="1"/>
  <c r="I26" i="5"/>
  <c r="I17" i="5" s="1"/>
  <c r="F17" i="5"/>
  <c r="I98" i="4"/>
  <c r="F11" i="10"/>
  <c r="E12" i="9"/>
  <c r="AU72" i="5"/>
  <c r="AU71" i="5" s="1"/>
  <c r="S16" i="7" s="1"/>
  <c r="N84" i="5"/>
  <c r="H101" i="4"/>
  <c r="H100" i="4"/>
  <c r="W90" i="4"/>
  <c r="AV72" i="5" s="1"/>
  <c r="AV71" i="5" s="1"/>
  <c r="T16" i="7" s="1"/>
  <c r="F75" i="4"/>
  <c r="E3" i="7"/>
  <c r="H107" i="4"/>
  <c r="F77" i="4"/>
  <c r="G80" i="4"/>
  <c r="D8" i="6" s="1"/>
  <c r="D6" i="6" s="1"/>
  <c r="F87" i="4"/>
  <c r="G88" i="4"/>
  <c r="L26" i="5"/>
  <c r="O24" i="5"/>
  <c r="N25" i="5"/>
  <c r="W89" i="4"/>
  <c r="S16" i="9"/>
  <c r="T16" i="10"/>
  <c r="T14" i="10" s="1"/>
  <c r="L17" i="5" l="1"/>
  <c r="U13" i="10"/>
  <c r="T14" i="9"/>
  <c r="H103" i="4"/>
  <c r="H92" i="4"/>
  <c r="F90" i="4"/>
  <c r="F72" i="5" s="1"/>
  <c r="F65" i="5"/>
  <c r="F5" i="5" s="1"/>
  <c r="H17" i="5"/>
  <c r="F66" i="5"/>
  <c r="O17" i="5"/>
  <c r="T13" i="10"/>
  <c r="S14" i="9"/>
  <c r="C16" i="7"/>
  <c r="F89" i="4"/>
  <c r="F6" i="7"/>
  <c r="AH66" i="5"/>
  <c r="F11" i="7" s="1"/>
  <c r="C11" i="7" s="1"/>
  <c r="AH65" i="5"/>
  <c r="AH5" i="5" s="1"/>
  <c r="I104" i="4"/>
  <c r="H108" i="4"/>
  <c r="N26" i="5"/>
  <c r="O26" i="5" s="1"/>
  <c r="O25" i="5"/>
  <c r="N85" i="5"/>
  <c r="I100" i="4"/>
  <c r="I101" i="4"/>
  <c r="J98" i="4"/>
  <c r="H26" i="5"/>
  <c r="F104" i="4" l="1"/>
  <c r="F105" i="4" s="1"/>
  <c r="I105" i="4"/>
  <c r="D13" i="10"/>
  <c r="D14" i="9"/>
  <c r="E30" i="7"/>
  <c r="G89" i="4"/>
  <c r="C8" i="6" s="1"/>
  <c r="F94" i="4"/>
  <c r="I66" i="5"/>
  <c r="H66" i="5" s="1"/>
  <c r="L66" i="5"/>
  <c r="O66" i="5"/>
  <c r="I65" i="5"/>
  <c r="H65" i="5" s="1"/>
  <c r="L65" i="5"/>
  <c r="O65" i="5"/>
  <c r="J99" i="4"/>
  <c r="J100" i="4"/>
  <c r="J101" i="4"/>
  <c r="H91" i="4"/>
  <c r="K98" i="4"/>
  <c r="I103" i="4"/>
  <c r="I92" i="4"/>
  <c r="F30" i="7" s="1"/>
  <c r="G7" i="10"/>
  <c r="F8" i="9"/>
  <c r="F6" i="9" s="1"/>
  <c r="F10" i="7"/>
  <c r="C6" i="7"/>
  <c r="I72" i="5"/>
  <c r="I71" i="5" s="1"/>
  <c r="F71" i="5"/>
  <c r="H72" i="5"/>
  <c r="G22" i="10" l="1"/>
  <c r="F18" i="9"/>
  <c r="F17" i="9" s="1"/>
  <c r="D7" i="10"/>
  <c r="D8" i="9"/>
  <c r="D6" i="9" s="1"/>
  <c r="E8" i="6"/>
  <c r="E6" i="6" s="1"/>
  <c r="C6" i="6"/>
  <c r="G11" i="10"/>
  <c r="F12" i="9"/>
  <c r="C10" i="7"/>
  <c r="L98" i="4"/>
  <c r="M98" i="4" s="1"/>
  <c r="N98" i="4" s="1"/>
  <c r="H71" i="5"/>
  <c r="L71" i="5"/>
  <c r="O71" i="5"/>
  <c r="F4" i="7"/>
  <c r="J102" i="4"/>
  <c r="G30" i="7" s="1"/>
  <c r="K99" i="4"/>
  <c r="K102" i="4" s="1"/>
  <c r="E18" i="9"/>
  <c r="E17" i="9" s="1"/>
  <c r="F22" i="10"/>
  <c r="K101" i="4"/>
  <c r="I107" i="4"/>
  <c r="J105" i="4" s="1"/>
  <c r="AG75" i="5"/>
  <c r="AG1" i="5"/>
  <c r="O5" i="5"/>
  <c r="L5" i="5"/>
  <c r="I5" i="5"/>
  <c r="H5" i="5" s="1"/>
  <c r="N101" i="4" l="1"/>
  <c r="C13" i="6"/>
  <c r="J107" i="4"/>
  <c r="J108" i="4" s="1"/>
  <c r="J91" i="4" s="1"/>
  <c r="AI75" i="5" s="1"/>
  <c r="K105" i="4"/>
  <c r="K92" i="4"/>
  <c r="H30" i="7" s="1"/>
  <c r="H22" i="10"/>
  <c r="G18" i="9"/>
  <c r="G17" i="9" s="1"/>
  <c r="L101" i="4"/>
  <c r="M101" i="4"/>
  <c r="K100" i="4"/>
  <c r="L100" i="4" s="1"/>
  <c r="M100" i="4" s="1"/>
  <c r="N99" i="4" s="1"/>
  <c r="D12" i="8"/>
  <c r="E12" i="8"/>
  <c r="F12" i="8"/>
  <c r="G12" i="8"/>
  <c r="J103" i="4"/>
  <c r="K103" i="4" s="1"/>
  <c r="I108" i="4"/>
  <c r="F3" i="7"/>
  <c r="C4" i="7"/>
  <c r="D11" i="10"/>
  <c r="D12" i="9"/>
  <c r="O98" i="4"/>
  <c r="AG76" i="5"/>
  <c r="AG74" i="5" s="1"/>
  <c r="E17" i="7" s="1"/>
  <c r="F15" i="10" l="1"/>
  <c r="E15" i="9"/>
  <c r="N102" i="4"/>
  <c r="N92" i="4" s="1"/>
  <c r="K30" i="7" s="1"/>
  <c r="N100" i="4"/>
  <c r="O99" i="4"/>
  <c r="O102" i="4" s="1"/>
  <c r="O92" i="4" s="1"/>
  <c r="L30" i="7" s="1"/>
  <c r="C3" i="7"/>
  <c r="I91" i="4"/>
  <c r="C12" i="8"/>
  <c r="K107" i="4"/>
  <c r="L105" i="4" s="1"/>
  <c r="M92" i="4"/>
  <c r="J30" i="7" s="1"/>
  <c r="L103" i="4"/>
  <c r="M103" i="4" s="1"/>
  <c r="L92" i="4"/>
  <c r="H18" i="9"/>
  <c r="H17" i="9" s="1"/>
  <c r="I22" i="10"/>
  <c r="O101" i="4"/>
  <c r="P98" i="4"/>
  <c r="AI76" i="5"/>
  <c r="AI74" i="5" s="1"/>
  <c r="G17" i="7" s="1"/>
  <c r="D13" i="6"/>
  <c r="D11" i="6" s="1"/>
  <c r="C11" i="6"/>
  <c r="E13" i="6" l="1"/>
  <c r="E11" i="6" s="1"/>
  <c r="E20" i="6" s="1"/>
  <c r="G15" i="9"/>
  <c r="H15" i="10"/>
  <c r="L107" i="4"/>
  <c r="L108" i="4" s="1"/>
  <c r="L91" i="4" s="1"/>
  <c r="AK75" i="5" s="1"/>
  <c r="AH75" i="5"/>
  <c r="L22" i="10"/>
  <c r="K18" i="9"/>
  <c r="K17" i="9" s="1"/>
  <c r="K22" i="10"/>
  <c r="J18" i="9"/>
  <c r="J17" i="9" s="1"/>
  <c r="K108" i="4"/>
  <c r="L18" i="9"/>
  <c r="L17" i="9" s="1"/>
  <c r="M22" i="10"/>
  <c r="E16" i="6"/>
  <c r="D16" i="6"/>
  <c r="D20" i="6"/>
  <c r="P101" i="4"/>
  <c r="Q98" i="4"/>
  <c r="O100" i="4"/>
  <c r="P100" i="4" s="1"/>
  <c r="I30" i="7"/>
  <c r="N103" i="4"/>
  <c r="O103" i="4" s="1"/>
  <c r="S99" i="4"/>
  <c r="S102" i="4" s="1"/>
  <c r="T99" i="4"/>
  <c r="T102" i="4" s="1"/>
  <c r="C20" i="6" l="1"/>
  <c r="C16" i="6"/>
  <c r="M105" i="4"/>
  <c r="P103" i="4"/>
  <c r="P92" i="4"/>
  <c r="J22" i="10"/>
  <c r="I18" i="9"/>
  <c r="I17" i="9" s="1"/>
  <c r="AK76" i="5"/>
  <c r="AK74" i="5" s="1"/>
  <c r="I17" i="7" s="1"/>
  <c r="Q100" i="4"/>
  <c r="Q101" i="4"/>
  <c r="R98" i="4"/>
  <c r="K91" i="4"/>
  <c r="AH76" i="5"/>
  <c r="AH74" i="5" s="1"/>
  <c r="F17" i="7" s="1"/>
  <c r="M107" i="4" l="1"/>
  <c r="J15" i="10"/>
  <c r="I15" i="9"/>
  <c r="M30" i="7"/>
  <c r="AJ75" i="5"/>
  <c r="G15" i="10"/>
  <c r="F15" i="9"/>
  <c r="R100" i="4"/>
  <c r="R101" i="4"/>
  <c r="S98" i="4"/>
  <c r="Q103" i="4"/>
  <c r="Q92" i="4"/>
  <c r="N30" i="7" s="1"/>
  <c r="AJ76" i="5" l="1"/>
  <c r="AJ74" i="5" s="1"/>
  <c r="H17" i="7" s="1"/>
  <c r="S101" i="4"/>
  <c r="S100" i="4"/>
  <c r="T98" i="4"/>
  <c r="M18" i="9"/>
  <c r="M17" i="9" s="1"/>
  <c r="N22" i="10"/>
  <c r="M108" i="4"/>
  <c r="R103" i="4"/>
  <c r="R92" i="4"/>
  <c r="O30" i="7" s="1"/>
  <c r="O22" i="10"/>
  <c r="N18" i="9"/>
  <c r="N17" i="9" s="1"/>
  <c r="N105" i="4"/>
  <c r="I15" i="10" l="1"/>
  <c r="H15" i="9"/>
  <c r="S103" i="4"/>
  <c r="S92" i="4"/>
  <c r="P30" i="7" s="1"/>
  <c r="N107" i="4"/>
  <c r="N108" i="4" s="1"/>
  <c r="N91" i="4" s="1"/>
  <c r="AM75" i="5" s="1"/>
  <c r="M91" i="4"/>
  <c r="T101" i="4"/>
  <c r="T100" i="4"/>
  <c r="U98" i="4"/>
  <c r="P22" i="10"/>
  <c r="O18" i="9"/>
  <c r="O17" i="9" s="1"/>
  <c r="AM76" i="5" l="1"/>
  <c r="AM74" i="5" s="1"/>
  <c r="K17" i="7" s="1"/>
  <c r="U100" i="4"/>
  <c r="U101" i="4"/>
  <c r="V98" i="4"/>
  <c r="P18" i="9"/>
  <c r="P17" i="9" s="1"/>
  <c r="Q22" i="10"/>
  <c r="T103" i="4"/>
  <c r="T92" i="4"/>
  <c r="Q30" i="7" s="1"/>
  <c r="AL75" i="5"/>
  <c r="O105" i="4"/>
  <c r="K15" i="9" l="1"/>
  <c r="L15" i="10"/>
  <c r="AL76" i="5"/>
  <c r="AL74" i="5" s="1"/>
  <c r="J17" i="7" s="1"/>
  <c r="U103" i="4"/>
  <c r="U92" i="4"/>
  <c r="R30" i="7" s="1"/>
  <c r="R22" i="10"/>
  <c r="Q18" i="9"/>
  <c r="Q17" i="9" s="1"/>
  <c r="O107" i="4"/>
  <c r="O108" i="4" s="1"/>
  <c r="P105" i="4"/>
  <c r="V100" i="4"/>
  <c r="W99" i="4" s="1"/>
  <c r="V101" i="4"/>
  <c r="W98" i="4"/>
  <c r="K15" i="10" l="1"/>
  <c r="J15" i="9"/>
  <c r="W100" i="4"/>
  <c r="W101" i="4"/>
  <c r="F98" i="4"/>
  <c r="S22" i="10"/>
  <c r="R18" i="9"/>
  <c r="R17" i="9" s="1"/>
  <c r="P107" i="4"/>
  <c r="P108" i="4" s="1"/>
  <c r="P91" i="4" s="1"/>
  <c r="AO75" i="5" s="1"/>
  <c r="V103" i="4"/>
  <c r="V92" i="4"/>
  <c r="S30" i="7" s="1"/>
  <c r="O91" i="4"/>
  <c r="W102" i="4"/>
  <c r="W92" i="4" s="1"/>
  <c r="F99" i="4"/>
  <c r="F102" i="4" s="1"/>
  <c r="AO76" i="5" l="1"/>
  <c r="AO74" i="5" s="1"/>
  <c r="M17" i="7" s="1"/>
  <c r="F100" i="4"/>
  <c r="F101" i="4"/>
  <c r="F103" i="4" s="1"/>
  <c r="W103" i="4"/>
  <c r="AN75" i="5"/>
  <c r="T22" i="10"/>
  <c r="S18" i="9"/>
  <c r="S17" i="9" s="1"/>
  <c r="T30" i="7"/>
  <c r="Q105" i="4"/>
  <c r="N15" i="10" l="1"/>
  <c r="M15" i="9"/>
  <c r="C53" i="7"/>
  <c r="F96" i="5" s="1"/>
  <c r="F85" i="5"/>
  <c r="P73" i="5"/>
  <c r="F79" i="5"/>
  <c r="C30" i="7"/>
  <c r="G92" i="4"/>
  <c r="C47" i="7"/>
  <c r="C75" i="7" s="1"/>
  <c r="P52" i="5"/>
  <c r="P27" i="5"/>
  <c r="P6" i="5"/>
  <c r="P67" i="5"/>
  <c r="P47" i="5"/>
  <c r="P17" i="5"/>
  <c r="P72" i="5"/>
  <c r="P66" i="5"/>
  <c r="P65" i="5"/>
  <c r="P71" i="5"/>
  <c r="P5" i="5"/>
  <c r="T18" i="9"/>
  <c r="T17" i="9" s="1"/>
  <c r="U22" i="10"/>
  <c r="T25" i="7"/>
  <c r="AN76" i="5"/>
  <c r="AN74" i="5" s="1"/>
  <c r="L17" i="7" s="1"/>
  <c r="Q107" i="4"/>
  <c r="Q108" i="4" s="1"/>
  <c r="Q91" i="4" s="1"/>
  <c r="AP75" i="5" s="1"/>
  <c r="R105" i="4"/>
  <c r="L15" i="9" l="1"/>
  <c r="M15" i="10"/>
  <c r="AS79" i="5"/>
  <c r="AS77" i="5" s="1"/>
  <c r="Q18" i="7" s="1"/>
  <c r="AO79" i="5"/>
  <c r="AO77" i="5" s="1"/>
  <c r="M18" i="7" s="1"/>
  <c r="AK79" i="5"/>
  <c r="AK77" i="5" s="1"/>
  <c r="I18" i="7" s="1"/>
  <c r="AG79" i="5"/>
  <c r="AT79" i="5"/>
  <c r="AT77" i="5" s="1"/>
  <c r="R18" i="7" s="1"/>
  <c r="AP79" i="5"/>
  <c r="AP77" i="5" s="1"/>
  <c r="N18" i="7" s="1"/>
  <c r="AL79" i="5"/>
  <c r="AL77" i="5" s="1"/>
  <c r="J18" i="7" s="1"/>
  <c r="AH79" i="5"/>
  <c r="AH77" i="5" s="1"/>
  <c r="F18" i="7" s="1"/>
  <c r="AQ79" i="5"/>
  <c r="AQ77" i="5" s="1"/>
  <c r="O18" i="7" s="1"/>
  <c r="AI79" i="5"/>
  <c r="AI77" i="5" s="1"/>
  <c r="G18" i="7" s="1"/>
  <c r="AR79" i="5"/>
  <c r="AR77" i="5" s="1"/>
  <c r="P18" i="7" s="1"/>
  <c r="AJ79" i="5"/>
  <c r="AJ77" i="5" s="1"/>
  <c r="H18" i="7" s="1"/>
  <c r="H79" i="5"/>
  <c r="AM79" i="5"/>
  <c r="AM77" i="5" s="1"/>
  <c r="K18" i="7" s="1"/>
  <c r="AN79" i="5"/>
  <c r="AN77" i="5" s="1"/>
  <c r="L18" i="7" s="1"/>
  <c r="AV79" i="5"/>
  <c r="AV77" i="5" s="1"/>
  <c r="T18" i="7" s="1"/>
  <c r="AU79" i="5"/>
  <c r="AU77" i="5" s="1"/>
  <c r="S18" i="7" s="1"/>
  <c r="L79" i="5"/>
  <c r="F77" i="5"/>
  <c r="O79" i="5"/>
  <c r="R107" i="4"/>
  <c r="R108" i="4" s="1"/>
  <c r="R91" i="4" s="1"/>
  <c r="AQ75" i="5" s="1"/>
  <c r="U18" i="10"/>
  <c r="AP76" i="5"/>
  <c r="AP74" i="5" s="1"/>
  <c r="N17" i="7" s="1"/>
  <c r="D18" i="9"/>
  <c r="D17" i="9" s="1"/>
  <c r="D22" i="10"/>
  <c r="AU69" i="5"/>
  <c r="AQ69" i="5"/>
  <c r="AM69" i="5"/>
  <c r="AI69" i="5"/>
  <c r="AV69" i="5"/>
  <c r="AP69" i="5"/>
  <c r="AK69" i="5"/>
  <c r="P69" i="5"/>
  <c r="AR69" i="5"/>
  <c r="AL69" i="5"/>
  <c r="AG69" i="5"/>
  <c r="AO69" i="5"/>
  <c r="AN69" i="5"/>
  <c r="AS69" i="5"/>
  <c r="AH69" i="5"/>
  <c r="AT69" i="5"/>
  <c r="AJ69" i="5"/>
  <c r="I69" i="5"/>
  <c r="I68" i="5" s="1"/>
  <c r="I84" i="5" s="1"/>
  <c r="L69" i="5"/>
  <c r="O69" i="5"/>
  <c r="C9" i="13"/>
  <c r="P85" i="5"/>
  <c r="C23" i="13"/>
  <c r="C36" i="13"/>
  <c r="I85" i="5"/>
  <c r="L85" i="5"/>
  <c r="G72" i="5"/>
  <c r="O85" i="5"/>
  <c r="E18" i="7" l="1"/>
  <c r="AG77" i="5"/>
  <c r="F85" i="4"/>
  <c r="O15" i="10"/>
  <c r="N15" i="9"/>
  <c r="Q14" i="7"/>
  <c r="I14" i="7"/>
  <c r="P14" i="7"/>
  <c r="N14" i="7"/>
  <c r="O14" i="7"/>
  <c r="H85" i="5"/>
  <c r="H14" i="7"/>
  <c r="F14" i="7"/>
  <c r="E14" i="7"/>
  <c r="G14" i="7"/>
  <c r="AQ76" i="5"/>
  <c r="AQ74" i="5" s="1"/>
  <c r="O17" i="7" s="1"/>
  <c r="R14" i="7"/>
  <c r="J14" i="7"/>
  <c r="K14" i="7"/>
  <c r="C18" i="7"/>
  <c r="L14" i="7"/>
  <c r="H77" i="5"/>
  <c r="P77" i="5"/>
  <c r="L77" i="5"/>
  <c r="O77" i="5"/>
  <c r="H69" i="5"/>
  <c r="M14" i="7"/>
  <c r="T14" i="7"/>
  <c r="S14" i="7"/>
  <c r="S105" i="4"/>
  <c r="O15" i="9" l="1"/>
  <c r="P15" i="10"/>
  <c r="H96" i="5"/>
  <c r="C68" i="7" s="1"/>
  <c r="C63" i="7"/>
  <c r="T12" i="10"/>
  <c r="S13" i="9"/>
  <c r="S5" i="9" s="1"/>
  <c r="S20" i="9" s="1"/>
  <c r="S21" i="7"/>
  <c r="N12" i="10"/>
  <c r="M13" i="9"/>
  <c r="M5" i="9" s="1"/>
  <c r="M20" i="9" s="1"/>
  <c r="M20" i="7"/>
  <c r="M21" i="7" s="1"/>
  <c r="M12" i="10"/>
  <c r="L13" i="9"/>
  <c r="L5" i="9" s="1"/>
  <c r="L20" i="9" s="1"/>
  <c r="L20" i="7"/>
  <c r="L21" i="7" s="1"/>
  <c r="R13" i="9"/>
  <c r="R5" i="9" s="1"/>
  <c r="R20" i="9" s="1"/>
  <c r="S12" i="10"/>
  <c r="R21" i="7"/>
  <c r="S107" i="4"/>
  <c r="S108" i="4" s="1"/>
  <c r="S91" i="4" s="1"/>
  <c r="J13" i="9"/>
  <c r="J5" i="9" s="1"/>
  <c r="J20" i="9" s="1"/>
  <c r="K12" i="10"/>
  <c r="J20" i="7"/>
  <c r="J21" i="7" s="1"/>
  <c r="F12" i="10"/>
  <c r="E13" i="9"/>
  <c r="E5" i="9" s="1"/>
  <c r="E20" i="9" s="1"/>
  <c r="C14" i="7"/>
  <c r="E20" i="7"/>
  <c r="E21" i="7" s="1"/>
  <c r="P12" i="10"/>
  <c r="O13" i="9"/>
  <c r="O20" i="7"/>
  <c r="O21" i="7" s="1"/>
  <c r="R12" i="10"/>
  <c r="Q13" i="9"/>
  <c r="Q5" i="9" s="1"/>
  <c r="Q20" i="9" s="1"/>
  <c r="Q21" i="7"/>
  <c r="L12" i="10"/>
  <c r="K13" i="9"/>
  <c r="K5" i="9" s="1"/>
  <c r="K20" i="9" s="1"/>
  <c r="K20" i="7"/>
  <c r="K21" i="7" s="1"/>
  <c r="H12" i="10"/>
  <c r="G13" i="9"/>
  <c r="G5" i="9" s="1"/>
  <c r="G20" i="9" s="1"/>
  <c r="G20" i="7"/>
  <c r="G12" i="10"/>
  <c r="F13" i="9"/>
  <c r="F5" i="9" s="1"/>
  <c r="F20" i="9" s="1"/>
  <c r="F20" i="7"/>
  <c r="O12" i="10"/>
  <c r="N13" i="9"/>
  <c r="N5" i="9" s="1"/>
  <c r="N20" i="9" s="1"/>
  <c r="N20" i="7"/>
  <c r="N21" i="7" s="1"/>
  <c r="J12" i="10"/>
  <c r="I13" i="9"/>
  <c r="I5" i="9" s="1"/>
  <c r="I20" i="9" s="1"/>
  <c r="I20" i="7"/>
  <c r="I21" i="7" s="1"/>
  <c r="U12" i="10"/>
  <c r="T13" i="9"/>
  <c r="G13" i="8"/>
  <c r="D13" i="8"/>
  <c r="E13" i="8"/>
  <c r="F13" i="8"/>
  <c r="I12" i="10"/>
  <c r="H13" i="9"/>
  <c r="H5" i="9" s="1"/>
  <c r="H20" i="9" s="1"/>
  <c r="H20" i="7"/>
  <c r="Q12" i="10"/>
  <c r="P13" i="9"/>
  <c r="P20" i="7"/>
  <c r="O5" i="9" l="1"/>
  <c r="O20" i="9" s="1"/>
  <c r="T105" i="4"/>
  <c r="G21" i="7"/>
  <c r="G22" i="7" s="1"/>
  <c r="G21" i="9"/>
  <c r="M5" i="10"/>
  <c r="L22" i="7"/>
  <c r="L42" i="7"/>
  <c r="L23" i="9" s="1"/>
  <c r="L30" i="9" s="1"/>
  <c r="I17" i="10"/>
  <c r="I14" i="10" s="1"/>
  <c r="H21" i="9"/>
  <c r="Q17" i="10"/>
  <c r="P21" i="9"/>
  <c r="H21" i="7"/>
  <c r="G17" i="10"/>
  <c r="G14" i="10" s="1"/>
  <c r="F21" i="9"/>
  <c r="E21" i="9"/>
  <c r="F17" i="10"/>
  <c r="F14" i="10" s="1"/>
  <c r="S5" i="10"/>
  <c r="R22" i="7"/>
  <c r="R42" i="7"/>
  <c r="R23" i="9" s="1"/>
  <c r="R30" i="9" s="1"/>
  <c r="M17" i="10"/>
  <c r="M14" i="10" s="1"/>
  <c r="L21" i="9"/>
  <c r="I21" i="9"/>
  <c r="J17" i="10"/>
  <c r="J14" i="10" s="1"/>
  <c r="L17" i="10"/>
  <c r="L14" i="10" s="1"/>
  <c r="K21" i="9"/>
  <c r="R5" i="10"/>
  <c r="Q22" i="7"/>
  <c r="Q42" i="7"/>
  <c r="P5" i="10"/>
  <c r="O22" i="7"/>
  <c r="O42" i="7"/>
  <c r="O23" i="9" s="1"/>
  <c r="O30" i="9" s="1"/>
  <c r="D12" i="10"/>
  <c r="D13" i="9"/>
  <c r="J21" i="9"/>
  <c r="K17" i="10"/>
  <c r="K14" i="10" s="1"/>
  <c r="T107" i="4"/>
  <c r="T108" i="4" s="1"/>
  <c r="U105" i="4"/>
  <c r="M21" i="9"/>
  <c r="N17" i="10"/>
  <c r="N14" i="10" s="1"/>
  <c r="T5" i="10"/>
  <c r="S22" i="7"/>
  <c r="S42" i="7"/>
  <c r="S23" i="9" s="1"/>
  <c r="S30" i="9" s="1"/>
  <c r="J5" i="10"/>
  <c r="I22" i="7"/>
  <c r="I42" i="7"/>
  <c r="H17" i="10"/>
  <c r="H14" i="10" s="1"/>
  <c r="L5" i="10"/>
  <c r="K22" i="7"/>
  <c r="K42" i="7"/>
  <c r="K23" i="9" s="1"/>
  <c r="K30" i="9" s="1"/>
  <c r="K5" i="10"/>
  <c r="J22" i="7"/>
  <c r="J42" i="7"/>
  <c r="J23" i="9" s="1"/>
  <c r="J30" i="9" s="1"/>
  <c r="N5" i="10"/>
  <c r="M22" i="7"/>
  <c r="M42" i="7"/>
  <c r="O5" i="10"/>
  <c r="N22" i="7"/>
  <c r="N42" i="7"/>
  <c r="N23" i="9" s="1"/>
  <c r="N30" i="9" s="1"/>
  <c r="C13" i="8"/>
  <c r="O17" i="10"/>
  <c r="O14" i="10" s="1"/>
  <c r="N21" i="9"/>
  <c r="F21" i="7"/>
  <c r="P17" i="10"/>
  <c r="P14" i="10" s="1"/>
  <c r="O21" i="9"/>
  <c r="AR75" i="5"/>
  <c r="W91" i="4"/>
  <c r="H5" i="10" l="1"/>
  <c r="G42" i="7"/>
  <c r="G23" i="9" s="1"/>
  <c r="G30" i="9" s="1"/>
  <c r="F5" i="10"/>
  <c r="E22" i="7"/>
  <c r="E42" i="7"/>
  <c r="AV75" i="5"/>
  <c r="F91" i="4"/>
  <c r="F75" i="5" s="1"/>
  <c r="F77" i="7"/>
  <c r="I23" i="9"/>
  <c r="I30" i="9" s="1"/>
  <c r="Q23" i="9"/>
  <c r="Q30" i="9" s="1"/>
  <c r="AR76" i="5"/>
  <c r="AR74" i="5" s="1"/>
  <c r="P17" i="7" s="1"/>
  <c r="G5" i="10"/>
  <c r="F22" i="7"/>
  <c r="F42" i="7"/>
  <c r="F23" i="9" s="1"/>
  <c r="F30" i="9" s="1"/>
  <c r="M23" i="9"/>
  <c r="M30" i="9" s="1"/>
  <c r="I5" i="10"/>
  <c r="H22" i="7"/>
  <c r="H42" i="7"/>
  <c r="H23" i="9" s="1"/>
  <c r="H30" i="9" s="1"/>
  <c r="U107" i="4"/>
  <c r="U108" i="4" s="1"/>
  <c r="E23" i="9" l="1"/>
  <c r="E30" i="9" s="1"/>
  <c r="E31" i="9" s="1"/>
  <c r="F31" i="9" s="1"/>
  <c r="G31" i="9" s="1"/>
  <c r="H31" i="9" s="1"/>
  <c r="I31" i="9" s="1"/>
  <c r="J31" i="9" s="1"/>
  <c r="K31" i="9" s="1"/>
  <c r="L31" i="9" s="1"/>
  <c r="E77" i="7"/>
  <c r="E43" i="7"/>
  <c r="V105" i="4"/>
  <c r="E37" i="7"/>
  <c r="Q15" i="10"/>
  <c r="Q14" i="10" s="1"/>
  <c r="P15" i="9"/>
  <c r="P5" i="9" s="1"/>
  <c r="P20" i="9" s="1"/>
  <c r="P21" i="7"/>
  <c r="F76" i="5"/>
  <c r="C18" i="6"/>
  <c r="C19" i="6"/>
  <c r="H75" i="5"/>
  <c r="L75" i="5"/>
  <c r="O75" i="5"/>
  <c r="AV76" i="5"/>
  <c r="AV74" i="5" s="1"/>
  <c r="T17" i="7" s="1"/>
  <c r="M31" i="9" l="1"/>
  <c r="N31" i="9" s="1"/>
  <c r="O31" i="9" s="1"/>
  <c r="T15" i="9"/>
  <c r="U15" i="10"/>
  <c r="C17" i="7"/>
  <c r="D18" i="6"/>
  <c r="C17" i="6"/>
  <c r="E18" i="6"/>
  <c r="H76" i="5"/>
  <c r="H74" i="5" s="1"/>
  <c r="L76" i="5"/>
  <c r="O76" i="5"/>
  <c r="Q5" i="10"/>
  <c r="P22" i="7"/>
  <c r="P42" i="7"/>
  <c r="F29" i="10"/>
  <c r="E12" i="11"/>
  <c r="E36" i="7"/>
  <c r="V107" i="4"/>
  <c r="V108" i="4" s="1"/>
  <c r="F74" i="5"/>
  <c r="E24" i="9"/>
  <c r="F43" i="7"/>
  <c r="G43" i="7" l="1"/>
  <c r="F24" i="9"/>
  <c r="P74" i="5"/>
  <c r="L74" i="5"/>
  <c r="O74" i="5"/>
  <c r="P23" i="9"/>
  <c r="P30" i="9" s="1"/>
  <c r="P31" i="9" s="1"/>
  <c r="G77" i="7"/>
  <c r="W105" i="4"/>
  <c r="W107" i="4" s="1"/>
  <c r="E11" i="11"/>
  <c r="F28" i="10"/>
  <c r="E27" i="7"/>
  <c r="D15" i="9"/>
  <c r="D15" i="10"/>
  <c r="F20" i="10" l="1"/>
  <c r="E9" i="11"/>
  <c r="E23" i="7"/>
  <c r="E25" i="7"/>
  <c r="W108" i="4"/>
  <c r="F108" i="4" s="1"/>
  <c r="F107" i="4"/>
  <c r="Q31" i="9"/>
  <c r="R31" i="9" s="1"/>
  <c r="S31" i="9" s="1"/>
  <c r="H43" i="7"/>
  <c r="G24" i="9"/>
  <c r="E33" i="7" l="1"/>
  <c r="E18" i="11" s="1"/>
  <c r="E17" i="11" s="1"/>
  <c r="H24" i="9"/>
  <c r="I43" i="7"/>
  <c r="E8" i="11"/>
  <c r="E15" i="11"/>
  <c r="D30" i="9"/>
  <c r="D28" i="9" s="1"/>
  <c r="F18" i="10"/>
  <c r="E31" i="7"/>
  <c r="F24" i="10" l="1"/>
  <c r="E44" i="7"/>
  <c r="F26" i="10"/>
  <c r="E32" i="7"/>
  <c r="I24" i="9"/>
  <c r="J43" i="7"/>
  <c r="E14" i="11"/>
  <c r="F6" i="11"/>
  <c r="F40" i="10" l="1"/>
  <c r="E45" i="7"/>
  <c r="J24" i="9"/>
  <c r="K43" i="7"/>
  <c r="F5" i="11"/>
  <c r="F25" i="10"/>
  <c r="E15" i="7"/>
  <c r="E40" i="7"/>
  <c r="F41" i="10" l="1"/>
  <c r="E41" i="7"/>
  <c r="F31" i="10"/>
  <c r="L43" i="7"/>
  <c r="K24" i="9"/>
  <c r="AG70" i="5"/>
  <c r="AG68" i="5" s="1"/>
  <c r="E13" i="7"/>
  <c r="L24" i="9" l="1"/>
  <c r="M43" i="7"/>
  <c r="F32" i="10"/>
  <c r="F37" i="7"/>
  <c r="F12" i="11" l="1"/>
  <c r="G29" i="10"/>
  <c r="F36" i="7"/>
  <c r="M24" i="9"/>
  <c r="N43" i="7"/>
  <c r="O43" i="7" l="1"/>
  <c r="N24" i="9"/>
  <c r="F11" i="11"/>
  <c r="G28" i="10"/>
  <c r="F27" i="7"/>
  <c r="F25" i="7" l="1"/>
  <c r="F23" i="7"/>
  <c r="F9" i="11"/>
  <c r="G20" i="10"/>
  <c r="P43" i="7"/>
  <c r="O24" i="9"/>
  <c r="P24" i="9" l="1"/>
  <c r="D29" i="9" s="1"/>
  <c r="D27" i="9" s="1"/>
  <c r="Q43" i="7"/>
  <c r="F33" i="7"/>
  <c r="F8" i="11"/>
  <c r="F15" i="11"/>
  <c r="G18" i="10"/>
  <c r="F31" i="7"/>
  <c r="Q24" i="9" l="1"/>
  <c r="R43" i="7"/>
  <c r="G24" i="10"/>
  <c r="F44" i="7"/>
  <c r="F14" i="11"/>
  <c r="G6" i="11"/>
  <c r="F18" i="11"/>
  <c r="G26" i="10"/>
  <c r="F32" i="7"/>
  <c r="G25" i="10" l="1"/>
  <c r="F15" i="7"/>
  <c r="S43" i="7"/>
  <c r="R24" i="9"/>
  <c r="F40" i="7"/>
  <c r="F17" i="11"/>
  <c r="G40" i="10"/>
  <c r="F45" i="7"/>
  <c r="G5" i="11"/>
  <c r="G31" i="10" l="1"/>
  <c r="F41" i="7"/>
  <c r="AH70" i="5"/>
  <c r="AH68" i="5" s="1"/>
  <c r="F13" i="7"/>
  <c r="G41" i="10"/>
  <c r="S24" i="9"/>
  <c r="G32" i="10" l="1"/>
  <c r="G29" i="7"/>
  <c r="G37" i="7" s="1"/>
  <c r="G12" i="11" l="1"/>
  <c r="H29" i="10"/>
  <c r="G36" i="7"/>
  <c r="H21" i="10"/>
  <c r="G10" i="11"/>
  <c r="G24" i="7"/>
  <c r="G16" i="11" l="1"/>
  <c r="H7" i="11" s="1"/>
  <c r="H16" i="11" s="1"/>
  <c r="I7" i="11" s="1"/>
  <c r="I16" i="11" s="1"/>
  <c r="J7" i="11" s="1"/>
  <c r="J16" i="11" s="1"/>
  <c r="K7" i="11" s="1"/>
  <c r="G11" i="11"/>
  <c r="G34" i="7"/>
  <c r="H24" i="7"/>
  <c r="H28" i="10"/>
  <c r="I24" i="7" l="1"/>
  <c r="H34" i="7"/>
  <c r="G19" i="11"/>
  <c r="H27" i="10"/>
  <c r="G27" i="7"/>
  <c r="G9" i="11" l="1"/>
  <c r="H20" i="10"/>
  <c r="G25" i="7"/>
  <c r="G23" i="7"/>
  <c r="H19" i="11"/>
  <c r="I27" i="10"/>
  <c r="J24" i="7"/>
  <c r="I34" i="7"/>
  <c r="H18" i="10" l="1"/>
  <c r="G31" i="7"/>
  <c r="I19" i="11"/>
  <c r="J27" i="10"/>
  <c r="G33" i="7"/>
  <c r="G8" i="11"/>
  <c r="G15" i="11"/>
  <c r="J34" i="7"/>
  <c r="K38" i="7"/>
  <c r="J19" i="11" l="1"/>
  <c r="K27" i="10"/>
  <c r="G14" i="11"/>
  <c r="H6" i="11"/>
  <c r="G18" i="11"/>
  <c r="H26" i="10"/>
  <c r="G32" i="7"/>
  <c r="G40" i="7" s="1"/>
  <c r="H24" i="10"/>
  <c r="G44" i="7"/>
  <c r="K13" i="11"/>
  <c r="L30" i="10"/>
  <c r="H5" i="11" l="1"/>
  <c r="H31" i="10"/>
  <c r="G41" i="7"/>
  <c r="H25" i="10"/>
  <c r="G15" i="7"/>
  <c r="H40" i="10"/>
  <c r="G45" i="7"/>
  <c r="G17" i="11"/>
  <c r="AI70" i="5" l="1"/>
  <c r="AI68" i="5" s="1"/>
  <c r="G13" i="7"/>
  <c r="H41" i="10"/>
  <c r="H32" i="10"/>
  <c r="H37" i="7"/>
  <c r="H12" i="11" l="1"/>
  <c r="I29" i="10"/>
  <c r="H36" i="7"/>
  <c r="I28" i="10" l="1"/>
  <c r="H27" i="7"/>
  <c r="H11" i="11"/>
  <c r="I20" i="10" l="1"/>
  <c r="H25" i="7"/>
  <c r="H9" i="11"/>
  <c r="H23" i="7"/>
  <c r="H8" i="11" l="1"/>
  <c r="H15" i="11"/>
  <c r="I18" i="10"/>
  <c r="H31" i="7"/>
  <c r="H33" i="7"/>
  <c r="H18" i="11" l="1"/>
  <c r="I26" i="10"/>
  <c r="H32" i="7"/>
  <c r="I6" i="11"/>
  <c r="H14" i="11"/>
  <c r="I24" i="10"/>
  <c r="H44" i="7"/>
  <c r="H40" i="7"/>
  <c r="I40" i="10" l="1"/>
  <c r="E78" i="7"/>
  <c r="H45" i="7"/>
  <c r="I25" i="10"/>
  <c r="H15" i="7"/>
  <c r="I31" i="10"/>
  <c r="H41" i="7"/>
  <c r="I5" i="11"/>
  <c r="H17" i="11"/>
  <c r="AJ70" i="5" l="1"/>
  <c r="AJ68" i="5" s="1"/>
  <c r="H13" i="7"/>
  <c r="D19" i="8"/>
  <c r="I32" i="10"/>
  <c r="I37" i="7"/>
  <c r="I41" i="10"/>
  <c r="I12" i="11" l="1"/>
  <c r="I36" i="7"/>
  <c r="J29" i="10"/>
  <c r="I11" i="11" l="1"/>
  <c r="J28" i="10"/>
  <c r="I27" i="7"/>
  <c r="I9" i="11" l="1"/>
  <c r="J20" i="10"/>
  <c r="I25" i="7"/>
  <c r="I23" i="7"/>
  <c r="I31" i="7" l="1"/>
  <c r="J18" i="10"/>
  <c r="I33" i="7"/>
  <c r="I8" i="11"/>
  <c r="I15" i="11"/>
  <c r="J6" i="11" l="1"/>
  <c r="I14" i="11"/>
  <c r="I18" i="11"/>
  <c r="J26" i="10"/>
  <c r="I32" i="7"/>
  <c r="I40" i="7" s="1"/>
  <c r="J24" i="10"/>
  <c r="I44" i="7"/>
  <c r="J40" i="10" l="1"/>
  <c r="I45" i="7"/>
  <c r="I17" i="11"/>
  <c r="J31" i="10"/>
  <c r="I41" i="7"/>
  <c r="J25" i="10"/>
  <c r="I15" i="7"/>
  <c r="J5" i="11"/>
  <c r="AK70" i="5" l="1"/>
  <c r="AK68" i="5" s="1"/>
  <c r="I13" i="7"/>
  <c r="J32" i="10"/>
  <c r="J37" i="7"/>
  <c r="J41" i="10"/>
  <c r="J12" i="11" l="1"/>
  <c r="J11" i="11" s="1"/>
  <c r="K29" i="10"/>
  <c r="J36" i="7"/>
  <c r="K28" i="10" l="1"/>
  <c r="J27" i="7"/>
  <c r="J9" i="11" l="1"/>
  <c r="J25" i="7"/>
  <c r="K20" i="10"/>
  <c r="J23" i="7"/>
  <c r="J33" i="7" l="1"/>
  <c r="K18" i="10"/>
  <c r="J31" i="7"/>
  <c r="J8" i="11"/>
  <c r="J15" i="11"/>
  <c r="K24" i="10" l="1"/>
  <c r="J44" i="7"/>
  <c r="J14" i="11"/>
  <c r="K6" i="11"/>
  <c r="K26" i="10"/>
  <c r="J18" i="11"/>
  <c r="J17" i="11" s="1"/>
  <c r="J32" i="7"/>
  <c r="K25" i="10" l="1"/>
  <c r="J15" i="7"/>
  <c r="J40" i="7"/>
  <c r="K40" i="10"/>
  <c r="J45" i="7"/>
  <c r="K5" i="11"/>
  <c r="K41" i="10" l="1"/>
  <c r="K31" i="10"/>
  <c r="J41" i="7"/>
  <c r="AL70" i="5"/>
  <c r="AL68" i="5" s="1"/>
  <c r="J13" i="7"/>
  <c r="K32" i="10" l="1"/>
  <c r="K29" i="7"/>
  <c r="L21" i="10" l="1"/>
  <c r="K10" i="11"/>
  <c r="K24" i="7"/>
  <c r="K37" i="7"/>
  <c r="K16" i="11" l="1"/>
  <c r="L7" i="11" s="1"/>
  <c r="L16" i="11" s="1"/>
  <c r="M7" i="11" s="1"/>
  <c r="M16" i="11" s="1"/>
  <c r="N7" i="11" s="1"/>
  <c r="N16" i="11" s="1"/>
  <c r="O7" i="11" s="1"/>
  <c r="K34" i="7"/>
  <c r="L24" i="7"/>
  <c r="K12" i="11"/>
  <c r="K11" i="11" s="1"/>
  <c r="L29" i="10"/>
  <c r="K36" i="7"/>
  <c r="L34" i="7" l="1"/>
  <c r="M24" i="7"/>
  <c r="L28" i="10"/>
  <c r="K27" i="7"/>
  <c r="K19" i="11"/>
  <c r="L27" i="10"/>
  <c r="K9" i="11" l="1"/>
  <c r="K25" i="7"/>
  <c r="L20" i="10"/>
  <c r="K23" i="7"/>
  <c r="M34" i="7"/>
  <c r="N24" i="7"/>
  <c r="L19" i="11"/>
  <c r="M27" i="10"/>
  <c r="K33" i="7" l="1"/>
  <c r="L18" i="10"/>
  <c r="K31" i="7"/>
  <c r="O38" i="7"/>
  <c r="N34" i="7"/>
  <c r="N27" i="10"/>
  <c r="M19" i="11"/>
  <c r="K8" i="11"/>
  <c r="K15" i="11"/>
  <c r="L24" i="10" l="1"/>
  <c r="K44" i="7"/>
  <c r="K14" i="11"/>
  <c r="L6" i="11"/>
  <c r="N19" i="11"/>
  <c r="O27" i="10"/>
  <c r="O13" i="11"/>
  <c r="P30" i="10"/>
  <c r="K18" i="11"/>
  <c r="K17" i="11" s="1"/>
  <c r="L26" i="10"/>
  <c r="K32" i="7"/>
  <c r="K40" i="7" s="1"/>
  <c r="L40" i="10" l="1"/>
  <c r="K45" i="7"/>
  <c r="L31" i="10"/>
  <c r="K41" i="7"/>
  <c r="L25" i="10"/>
  <c r="K15" i="7"/>
  <c r="L5" i="11"/>
  <c r="AM70" i="5" l="1"/>
  <c r="AM68" i="5" s="1"/>
  <c r="K13" i="7"/>
  <c r="L41" i="10"/>
  <c r="L32" i="10"/>
  <c r="L37" i="7"/>
  <c r="L12" i="11" l="1"/>
  <c r="L11" i="11" s="1"/>
  <c r="M29" i="10"/>
  <c r="L36" i="7"/>
  <c r="M28" i="10" l="1"/>
  <c r="L27" i="7"/>
  <c r="M20" i="10" l="1"/>
  <c r="L9" i="11"/>
  <c r="L25" i="7"/>
  <c r="L23" i="7"/>
  <c r="M18" i="10" l="1"/>
  <c r="L31" i="7"/>
  <c r="L8" i="11"/>
  <c r="L15" i="11"/>
  <c r="L33" i="7"/>
  <c r="L14" i="11" l="1"/>
  <c r="M6" i="11"/>
  <c r="M24" i="10"/>
  <c r="L44" i="7"/>
  <c r="L18" i="11"/>
  <c r="L17" i="11" s="1"/>
  <c r="L32" i="7"/>
  <c r="M26" i="10"/>
  <c r="M25" i="10" l="1"/>
  <c r="L15" i="7"/>
  <c r="M40" i="10"/>
  <c r="F78" i="7"/>
  <c r="L45" i="7"/>
  <c r="M5" i="11"/>
  <c r="L40" i="7"/>
  <c r="M31" i="10" l="1"/>
  <c r="L41" i="7"/>
  <c r="M41" i="10"/>
  <c r="AN70" i="5"/>
  <c r="AN68" i="5" s="1"/>
  <c r="L13" i="7"/>
  <c r="E19" i="8"/>
  <c r="M32" i="10" l="1"/>
  <c r="M37" i="7"/>
  <c r="M12" i="11" l="1"/>
  <c r="M11" i="11" s="1"/>
  <c r="N29" i="10"/>
  <c r="M36" i="7"/>
  <c r="N28" i="10" l="1"/>
  <c r="M27" i="7"/>
  <c r="N20" i="10" l="1"/>
  <c r="M9" i="11"/>
  <c r="M25" i="7"/>
  <c r="M23" i="7"/>
  <c r="M33" i="7" l="1"/>
  <c r="M8" i="11"/>
  <c r="M15" i="11"/>
  <c r="N18" i="10"/>
  <c r="M31" i="7"/>
  <c r="N24" i="10" l="1"/>
  <c r="M44" i="7"/>
  <c r="M14" i="11"/>
  <c r="N6" i="11"/>
  <c r="M18" i="11"/>
  <c r="M17" i="11" s="1"/>
  <c r="N26" i="10"/>
  <c r="M32" i="7"/>
  <c r="N40" i="10" l="1"/>
  <c r="M45" i="7"/>
  <c r="M15" i="7"/>
  <c r="N25" i="10"/>
  <c r="M40" i="7"/>
  <c r="N5" i="11"/>
  <c r="N41" i="10" l="1"/>
  <c r="N31" i="10"/>
  <c r="M41" i="7"/>
  <c r="AO70" i="5"/>
  <c r="AO68" i="5" s="1"/>
  <c r="M13" i="7"/>
  <c r="N32" i="10" l="1"/>
  <c r="N37" i="7"/>
  <c r="N12" i="11" l="1"/>
  <c r="N11" i="11" s="1"/>
  <c r="O29" i="10"/>
  <c r="N36" i="7"/>
  <c r="O28" i="10" l="1"/>
  <c r="N27" i="7"/>
  <c r="N9" i="11" l="1"/>
  <c r="O20" i="10"/>
  <c r="N25" i="7"/>
  <c r="N23" i="7"/>
  <c r="N33" i="7" l="1"/>
  <c r="O18" i="10"/>
  <c r="N31" i="7"/>
  <c r="N8" i="11"/>
  <c r="N15" i="11"/>
  <c r="N14" i="11" l="1"/>
  <c r="O6" i="11"/>
  <c r="N44" i="7"/>
  <c r="O24" i="10"/>
  <c r="N18" i="11"/>
  <c r="N17" i="11" s="1"/>
  <c r="O26" i="10"/>
  <c r="N32" i="7"/>
  <c r="O25" i="10" l="1"/>
  <c r="N15" i="7"/>
  <c r="O40" i="10"/>
  <c r="N45" i="7"/>
  <c r="O5" i="11"/>
  <c r="N40" i="7"/>
  <c r="O41" i="10" l="1"/>
  <c r="AP70" i="5"/>
  <c r="AP68" i="5" s="1"/>
  <c r="N13" i="7"/>
  <c r="O31" i="10"/>
  <c r="N41" i="7"/>
  <c r="O32" i="10" l="1"/>
  <c r="O29" i="7"/>
  <c r="P21" i="10" l="1"/>
  <c r="O10" i="11"/>
  <c r="O24" i="7"/>
  <c r="O37" i="7"/>
  <c r="O16" i="11" l="1"/>
  <c r="P7" i="11" s="1"/>
  <c r="P16" i="11" s="1"/>
  <c r="Q7" i="11" s="1"/>
  <c r="Q16" i="11" s="1"/>
  <c r="R7" i="11" s="1"/>
  <c r="R16" i="11" s="1"/>
  <c r="S7" i="11" s="1"/>
  <c r="O34" i="7"/>
  <c r="P24" i="7"/>
  <c r="O12" i="11"/>
  <c r="O11" i="11" s="1"/>
  <c r="P29" i="10"/>
  <c r="O36" i="7"/>
  <c r="Q24" i="7" l="1"/>
  <c r="P34" i="7"/>
  <c r="P28" i="10"/>
  <c r="O27" i="7"/>
  <c r="O19" i="11"/>
  <c r="P27" i="10"/>
  <c r="P19" i="11" l="1"/>
  <c r="Q27" i="10"/>
  <c r="O9" i="11"/>
  <c r="P20" i="10"/>
  <c r="O25" i="7"/>
  <c r="O23" i="7"/>
  <c r="Q34" i="7"/>
  <c r="R24" i="7"/>
  <c r="R34" i="7" l="1"/>
  <c r="S38" i="7"/>
  <c r="Q19" i="11"/>
  <c r="R27" i="10"/>
  <c r="O8" i="11"/>
  <c r="O15" i="11"/>
  <c r="O33" i="7"/>
  <c r="P18" i="10"/>
  <c r="O31" i="7"/>
  <c r="O18" i="11" l="1"/>
  <c r="O17" i="11" s="1"/>
  <c r="P26" i="10"/>
  <c r="O32" i="7"/>
  <c r="O40" i="7" s="1"/>
  <c r="P24" i="10"/>
  <c r="O44" i="7"/>
  <c r="O14" i="11"/>
  <c r="P6" i="11"/>
  <c r="S13" i="11"/>
  <c r="T30" i="10"/>
  <c r="R19" i="11"/>
  <c r="S27" i="10"/>
  <c r="P31" i="10" l="1"/>
  <c r="O41" i="7"/>
  <c r="P5" i="11"/>
  <c r="P25" i="10"/>
  <c r="O15" i="7"/>
  <c r="P40" i="10"/>
  <c r="O45" i="7"/>
  <c r="P41" i="10" l="1"/>
  <c r="AQ70" i="5"/>
  <c r="AQ68" i="5" s="1"/>
  <c r="O13" i="7"/>
  <c r="P32" i="10"/>
  <c r="P37" i="7"/>
  <c r="P12" i="11" l="1"/>
  <c r="P11" i="11" s="1"/>
  <c r="Q29" i="10"/>
  <c r="P36" i="7"/>
  <c r="Q28" i="10" l="1"/>
  <c r="P27" i="7"/>
  <c r="Q20" i="10" l="1"/>
  <c r="P9" i="11"/>
  <c r="P25" i="7"/>
  <c r="P23" i="7"/>
  <c r="P8" i="11" l="1"/>
  <c r="P15" i="11"/>
  <c r="P33" i="7"/>
  <c r="Q18" i="10"/>
  <c r="P31" i="7"/>
  <c r="P18" i="11" l="1"/>
  <c r="P17" i="11" s="1"/>
  <c r="Q26" i="10"/>
  <c r="P32" i="7"/>
  <c r="P14" i="11"/>
  <c r="Q6" i="11"/>
  <c r="Q24" i="10"/>
  <c r="P44" i="7"/>
  <c r="P40" i="7"/>
  <c r="Q31" i="10" l="1"/>
  <c r="P41" i="7"/>
  <c r="Q40" i="10"/>
  <c r="G78" i="7"/>
  <c r="P45" i="7"/>
  <c r="Q25" i="10"/>
  <c r="P15" i="7"/>
  <c r="Q5" i="11"/>
  <c r="AR70" i="5" l="1"/>
  <c r="AR68" i="5" s="1"/>
  <c r="P13" i="7"/>
  <c r="E20" i="8"/>
  <c r="E14" i="8" s="1"/>
  <c r="G20" i="8"/>
  <c r="D20" i="8"/>
  <c r="F20" i="8"/>
  <c r="F19" i="8"/>
  <c r="Q41" i="10"/>
  <c r="Q32" i="10"/>
  <c r="Q37" i="7"/>
  <c r="F21" i="8" l="1"/>
  <c r="C20" i="8"/>
  <c r="D14" i="8"/>
  <c r="D44" i="8"/>
  <c r="Q12" i="11"/>
  <c r="Q11" i="11" s="1"/>
  <c r="R29" i="10"/>
  <c r="Q36" i="7"/>
  <c r="D52" i="8" l="1"/>
  <c r="E44" i="8"/>
  <c r="D51" i="8"/>
  <c r="D50" i="8"/>
  <c r="C44" i="8"/>
  <c r="C57" i="8" s="1"/>
  <c r="F10" i="8"/>
  <c r="C21" i="8"/>
  <c r="R28" i="10"/>
  <c r="Q27" i="7"/>
  <c r="C50" i="8" l="1"/>
  <c r="D41" i="8"/>
  <c r="C59" i="8"/>
  <c r="D57" i="8"/>
  <c r="E57" i="8" s="1"/>
  <c r="F57" i="8" s="1"/>
  <c r="G57" i="8" s="1"/>
  <c r="E51" i="8"/>
  <c r="E42" i="8" s="1"/>
  <c r="E52" i="8"/>
  <c r="E43" i="8" s="1"/>
  <c r="E50" i="8"/>
  <c r="E41" i="8" s="1"/>
  <c r="F44" i="8"/>
  <c r="Q9" i="11"/>
  <c r="R20" i="10"/>
  <c r="Q25" i="7"/>
  <c r="Q23" i="7"/>
  <c r="C10" i="8"/>
  <c r="F14" i="8"/>
  <c r="D42" i="8"/>
  <c r="C51" i="8"/>
  <c r="D43" i="8"/>
  <c r="C52" i="8"/>
  <c r="Q8" i="11" l="1"/>
  <c r="Q15" i="11"/>
  <c r="Q33" i="7"/>
  <c r="C60" i="8"/>
  <c r="D60" i="8" s="1"/>
  <c r="D59" i="8"/>
  <c r="R18" i="10"/>
  <c r="Q31" i="7"/>
  <c r="F50" i="8"/>
  <c r="F41" i="8" s="1"/>
  <c r="F51" i="8"/>
  <c r="F42" i="8" s="1"/>
  <c r="G44" i="8"/>
  <c r="F52" i="8"/>
  <c r="F43" i="8" s="1"/>
  <c r="E60" i="8" l="1"/>
  <c r="D48" i="8"/>
  <c r="D47" i="8"/>
  <c r="Q14" i="11"/>
  <c r="R6" i="11"/>
  <c r="G50" i="8"/>
  <c r="G41" i="8" s="1"/>
  <c r="C41" i="8" s="1"/>
  <c r="G52" i="8"/>
  <c r="G43" i="8" s="1"/>
  <c r="C43" i="8" s="1"/>
  <c r="G51" i="8"/>
  <c r="G42" i="8" s="1"/>
  <c r="C42" i="8" s="1"/>
  <c r="R24" i="10"/>
  <c r="Q44" i="7"/>
  <c r="Q18" i="11"/>
  <c r="Q17" i="11" s="1"/>
  <c r="R26" i="10"/>
  <c r="Q32" i="7"/>
  <c r="E59" i="8"/>
  <c r="D49" i="8"/>
  <c r="R25" i="10" l="1"/>
  <c r="Q15" i="7"/>
  <c r="Q40" i="7"/>
  <c r="R5" i="11"/>
  <c r="F60" i="8"/>
  <c r="E47" i="8"/>
  <c r="E38" i="8" s="1"/>
  <c r="E48" i="8"/>
  <c r="E39" i="8" s="1"/>
  <c r="C49" i="8"/>
  <c r="D40" i="8"/>
  <c r="C47" i="8"/>
  <c r="D38" i="8"/>
  <c r="F59" i="8"/>
  <c r="E49" i="8"/>
  <c r="E40" i="8" s="1"/>
  <c r="R40" i="10"/>
  <c r="Q45" i="7"/>
  <c r="C48" i="8"/>
  <c r="D39" i="8"/>
  <c r="E24" i="8" l="1"/>
  <c r="E9" i="8"/>
  <c r="R31" i="10"/>
  <c r="Q41" i="7"/>
  <c r="R41" i="10"/>
  <c r="G59" i="8"/>
  <c r="G49" i="8" s="1"/>
  <c r="G40" i="8" s="1"/>
  <c r="F49" i="8"/>
  <c r="F40" i="8" s="1"/>
  <c r="G60" i="8"/>
  <c r="F48" i="8"/>
  <c r="F39" i="8" s="1"/>
  <c r="F47" i="8"/>
  <c r="F38" i="8" s="1"/>
  <c r="AS70" i="5"/>
  <c r="AS68" i="5" s="1"/>
  <c r="Q13" i="7"/>
  <c r="D24" i="8"/>
  <c r="D9" i="8"/>
  <c r="C40" i="8" l="1"/>
  <c r="R32" i="10"/>
  <c r="R37" i="7"/>
  <c r="D7" i="8"/>
  <c r="G47" i="8"/>
  <c r="G38" i="8" s="1"/>
  <c r="G48" i="8"/>
  <c r="G39" i="8" s="1"/>
  <c r="C39" i="8" s="1"/>
  <c r="E7" i="8"/>
  <c r="F24" i="8"/>
  <c r="S29" i="10" l="1"/>
  <c r="R12" i="11"/>
  <c r="R11" i="11" s="1"/>
  <c r="R36" i="7"/>
  <c r="G24" i="8"/>
  <c r="C24" i="8" s="1"/>
  <c r="C38" i="8"/>
  <c r="F25" i="8" l="1"/>
  <c r="G25" i="8"/>
  <c r="G9" i="8" s="1"/>
  <c r="S28" i="10"/>
  <c r="R27" i="7"/>
  <c r="C25" i="8" l="1"/>
  <c r="F9" i="8"/>
  <c r="R9" i="11"/>
  <c r="S20" i="10"/>
  <c r="R25" i="7"/>
  <c r="R23" i="7"/>
  <c r="G7" i="8"/>
  <c r="F7" i="8" l="1"/>
  <c r="C9" i="8"/>
  <c r="C7" i="8" s="1"/>
  <c r="R8" i="11"/>
  <c r="R15" i="11"/>
  <c r="R33" i="7"/>
  <c r="S18" i="10"/>
  <c r="R31" i="7"/>
  <c r="S26" i="10" l="1"/>
  <c r="R18" i="11"/>
  <c r="R17" i="11" s="1"/>
  <c r="R32" i="7"/>
  <c r="R40" i="7" s="1"/>
  <c r="S24" i="10"/>
  <c r="R44" i="7"/>
  <c r="R14" i="11"/>
  <c r="S6" i="11"/>
  <c r="S5" i="11" l="1"/>
  <c r="R15" i="7"/>
  <c r="S25" i="10"/>
  <c r="S40" i="10"/>
  <c r="R45" i="7"/>
  <c r="S31" i="10"/>
  <c r="R41" i="7"/>
  <c r="S41" i="10" l="1"/>
  <c r="AT70" i="5"/>
  <c r="AT68" i="5" s="1"/>
  <c r="R13" i="7"/>
  <c r="S32" i="10"/>
  <c r="S29" i="7"/>
  <c r="T21" i="10" l="1"/>
  <c r="S10" i="11"/>
  <c r="C29" i="7"/>
  <c r="D21" i="10" s="1"/>
  <c r="S24" i="7"/>
  <c r="S37" i="7"/>
  <c r="C10" i="11" l="1"/>
  <c r="S16" i="11"/>
  <c r="T7" i="11" s="1"/>
  <c r="S34" i="7"/>
  <c r="T38" i="7"/>
  <c r="T24" i="7" s="1"/>
  <c r="T34" i="7" s="1"/>
  <c r="S12" i="11"/>
  <c r="T29" i="10"/>
  <c r="S36" i="7"/>
  <c r="C37" i="7"/>
  <c r="T19" i="11" l="1"/>
  <c r="U27" i="10"/>
  <c r="T32" i="7"/>
  <c r="C34" i="7"/>
  <c r="S11" i="11"/>
  <c r="C12" i="11"/>
  <c r="T28" i="10"/>
  <c r="S27" i="7"/>
  <c r="S19" i="11"/>
  <c r="T27" i="10"/>
  <c r="D29" i="10"/>
  <c r="U30" i="10"/>
  <c r="T13" i="11"/>
  <c r="T36" i="7"/>
  <c r="U28" i="10" s="1"/>
  <c r="C38" i="7"/>
  <c r="D30" i="10" s="1"/>
  <c r="S9" i="11" l="1"/>
  <c r="T20" i="10"/>
  <c r="S25" i="7"/>
  <c r="C27" i="7"/>
  <c r="S23" i="7"/>
  <c r="D27" i="10"/>
  <c r="C31" i="6"/>
  <c r="T11" i="11"/>
  <c r="C11" i="11" s="1"/>
  <c r="C13" i="11"/>
  <c r="T16" i="11"/>
  <c r="U25" i="10"/>
  <c r="T15" i="7"/>
  <c r="C36" i="7"/>
  <c r="D28" i="10" s="1"/>
  <c r="T17" i="11"/>
  <c r="C19" i="11"/>
  <c r="AV70" i="5" l="1"/>
  <c r="AV68" i="5" s="1"/>
  <c r="T13" i="7"/>
  <c r="D20" i="10"/>
  <c r="C25" i="7"/>
  <c r="D31" i="6"/>
  <c r="D15" i="6" s="1"/>
  <c r="E31" i="6"/>
  <c r="E15" i="6" s="1"/>
  <c r="E14" i="6" s="1"/>
  <c r="T18" i="10"/>
  <c r="S31" i="7"/>
  <c r="S33" i="7"/>
  <c r="T23" i="7"/>
  <c r="S8" i="11"/>
  <c r="C9" i="11"/>
  <c r="S15" i="11"/>
  <c r="T6" i="11" l="1"/>
  <c r="S14" i="11"/>
  <c r="S18" i="11"/>
  <c r="T26" i="10"/>
  <c r="S32" i="7"/>
  <c r="C33" i="7"/>
  <c r="D14" i="6"/>
  <c r="C15" i="6"/>
  <c r="C14" i="6" s="1"/>
  <c r="C9" i="6" s="1"/>
  <c r="S44" i="7"/>
  <c r="T24" i="10"/>
  <c r="D18" i="10"/>
  <c r="T40" i="10" l="1"/>
  <c r="S45" i="7"/>
  <c r="T25" i="10"/>
  <c r="S15" i="7"/>
  <c r="S40" i="7"/>
  <c r="D19" i="6"/>
  <c r="D17" i="6" s="1"/>
  <c r="D9" i="6" s="1"/>
  <c r="D21" i="6" s="1"/>
  <c r="E19" i="6"/>
  <c r="E17" i="6" s="1"/>
  <c r="E9" i="6" s="1"/>
  <c r="E21" i="6" s="1"/>
  <c r="S17" i="11"/>
  <c r="C17" i="11" s="1"/>
  <c r="C18" i="11"/>
  <c r="D26" i="10"/>
  <c r="C32" i="7"/>
  <c r="D25" i="10" s="1"/>
  <c r="T5" i="11"/>
  <c r="T15" i="11"/>
  <c r="T14" i="11" s="1"/>
  <c r="D22" i="6" l="1"/>
  <c r="C21" i="6"/>
  <c r="T41" i="10"/>
  <c r="T31" i="10"/>
  <c r="S41" i="7"/>
  <c r="E22" i="6"/>
  <c r="E23" i="6" s="1"/>
  <c r="E24" i="6" s="1"/>
  <c r="AU70" i="5"/>
  <c r="AU68" i="5" s="1"/>
  <c r="S13" i="7"/>
  <c r="G19" i="8"/>
  <c r="C15" i="7"/>
  <c r="C19" i="8" l="1"/>
  <c r="G14" i="8"/>
  <c r="C14" i="8" s="1"/>
  <c r="T32" i="10"/>
  <c r="F70" i="5"/>
  <c r="C13" i="7"/>
  <c r="E25" i="6"/>
  <c r="C22" i="6"/>
  <c r="D23" i="6"/>
  <c r="C23" i="6" l="1"/>
  <c r="D24" i="6"/>
  <c r="C24" i="6" s="1"/>
  <c r="E29" i="6"/>
  <c r="E28" i="6"/>
  <c r="E30" i="6"/>
  <c r="E27" i="6"/>
  <c r="P70" i="5"/>
  <c r="H70" i="5"/>
  <c r="L70" i="5"/>
  <c r="O70" i="5"/>
  <c r="F68" i="5"/>
  <c r="P68" i="5" l="1"/>
  <c r="H68" i="5"/>
  <c r="L68" i="5"/>
  <c r="O68" i="5"/>
  <c r="D25" i="6"/>
  <c r="C25" i="6" l="1"/>
  <c r="D27" i="6"/>
  <c r="C27" i="6" s="1"/>
  <c r="D29" i="6"/>
  <c r="C29" i="6" s="1"/>
  <c r="C19" i="7" s="1"/>
  <c r="D30" i="6"/>
  <c r="C30" i="6" s="1"/>
  <c r="D28" i="6"/>
  <c r="C28" i="6" s="1"/>
  <c r="D16" i="10" l="1"/>
  <c r="D16" i="9"/>
  <c r="D5" i="9" s="1"/>
  <c r="D20" i="9" s="1"/>
  <c r="F83" i="5"/>
  <c r="T19" i="7"/>
  <c r="C46" i="7"/>
  <c r="U16" i="10" l="1"/>
  <c r="T16" i="9"/>
  <c r="T5" i="9" s="1"/>
  <c r="T20" i="9" s="1"/>
  <c r="M73" i="5"/>
  <c r="F84" i="5"/>
  <c r="M52" i="5"/>
  <c r="M27" i="5"/>
  <c r="M67" i="5"/>
  <c r="M6" i="5"/>
  <c r="M47" i="5"/>
  <c r="M17" i="5"/>
  <c r="M66" i="5"/>
  <c r="M72" i="5"/>
  <c r="M65" i="5"/>
  <c r="M71" i="5"/>
  <c r="M5" i="5"/>
  <c r="C51" i="7"/>
  <c r="F94" i="5" s="1"/>
  <c r="C48" i="7"/>
  <c r="M85" i="5"/>
  <c r="M69" i="5"/>
  <c r="M77" i="5"/>
  <c r="M75" i="5"/>
  <c r="M76" i="5"/>
  <c r="M74" i="5"/>
  <c r="M70" i="5"/>
  <c r="M68" i="5"/>
  <c r="P83" i="5"/>
  <c r="H83" i="5"/>
  <c r="M83" i="5"/>
  <c r="L83" i="5"/>
  <c r="O83" i="5"/>
  <c r="E11" i="8" l="1"/>
  <c r="E15" i="8" s="1"/>
  <c r="F11" i="8"/>
  <c r="F15" i="8" s="1"/>
  <c r="G11" i="8"/>
  <c r="G15" i="8" s="1"/>
  <c r="D11" i="8"/>
  <c r="H84" i="5"/>
  <c r="C20" i="7"/>
  <c r="F86" i="5"/>
  <c r="C22" i="13"/>
  <c r="M84" i="5"/>
  <c r="C35" i="13"/>
  <c r="C8" i="13"/>
  <c r="P84" i="5"/>
  <c r="L84" i="5"/>
  <c r="O84" i="5"/>
  <c r="C37" i="13" l="1"/>
  <c r="C10" i="13"/>
  <c r="C24" i="13"/>
  <c r="C11" i="8"/>
  <c r="D15" i="8"/>
  <c r="G16" i="8" s="1"/>
  <c r="G17" i="8" s="1"/>
  <c r="G18" i="8" s="1"/>
  <c r="D17" i="10"/>
  <c r="D14" i="10" s="1"/>
  <c r="T20" i="7"/>
  <c r="D21" i="9"/>
  <c r="C62" i="7"/>
  <c r="H86" i="5"/>
  <c r="H94" i="5"/>
  <c r="C66" i="7" s="1"/>
  <c r="E22" i="8" l="1"/>
  <c r="G22" i="8"/>
  <c r="E16" i="8"/>
  <c r="E17" i="8" s="1"/>
  <c r="E18" i="8" s="1"/>
  <c r="C64" i="7"/>
  <c r="D16" i="8"/>
  <c r="D17" i="8" s="1"/>
  <c r="D22" i="8"/>
  <c r="C15" i="8"/>
  <c r="U17" i="10"/>
  <c r="U14" i="10" s="1"/>
  <c r="T21" i="9"/>
  <c r="T21" i="7"/>
  <c r="F22" i="8"/>
  <c r="D18" i="8" l="1"/>
  <c r="U5" i="10"/>
  <c r="T22" i="7"/>
  <c r="T42" i="7"/>
  <c r="T31" i="7"/>
  <c r="C21" i="7"/>
  <c r="C22" i="8"/>
  <c r="C49" i="7" s="1"/>
  <c r="U24" i="10" l="1"/>
  <c r="T44" i="7"/>
  <c r="T40" i="7"/>
  <c r="F87" i="5"/>
  <c r="H87" i="5" s="1"/>
  <c r="H88" i="5" s="1"/>
  <c r="F23" i="8"/>
  <c r="C50" i="7"/>
  <c r="D5" i="10"/>
  <c r="C31" i="7"/>
  <c r="T23" i="9"/>
  <c r="T30" i="9" s="1"/>
  <c r="T31" i="9" s="1"/>
  <c r="H77" i="7"/>
  <c r="C71" i="7" s="1"/>
  <c r="D25" i="9" s="1"/>
  <c r="C72" i="7"/>
  <c r="T43" i="7"/>
  <c r="T24" i="9" s="1"/>
  <c r="F98" i="5" l="1"/>
  <c r="D26" i="9"/>
  <c r="D24" i="10"/>
  <c r="C40" i="7"/>
  <c r="D31" i="10" s="1"/>
  <c r="C65" i="7"/>
  <c r="H97" i="5"/>
  <c r="H95" i="5"/>
  <c r="F33" i="10"/>
  <c r="U31" i="10"/>
  <c r="T41" i="7"/>
  <c r="U32" i="10" s="1"/>
  <c r="C52" i="7"/>
  <c r="F95" i="5" s="1"/>
  <c r="F88" i="5"/>
  <c r="C54" i="7"/>
  <c r="F97" i="5" s="1"/>
  <c r="U40" i="10"/>
  <c r="H78" i="7"/>
  <c r="T45" i="7"/>
  <c r="U41" i="10" s="1"/>
  <c r="C23" i="8"/>
  <c r="F16" i="8"/>
  <c r="F36" i="10" l="1"/>
  <c r="F34" i="10"/>
  <c r="F37" i="10"/>
  <c r="F17" i="8"/>
  <c r="C16" i="8"/>
  <c r="C69" i="7"/>
  <c r="C13" i="13"/>
  <c r="C27" i="13"/>
  <c r="C40" i="13"/>
  <c r="L2" i="4"/>
  <c r="C38" i="13"/>
  <c r="C25" i="13"/>
  <c r="C11" i="13"/>
  <c r="C74" i="7"/>
  <c r="D43" i="10" s="1"/>
  <c r="C73" i="7"/>
  <c r="D42" i="10" s="1"/>
  <c r="C26" i="13"/>
  <c r="C67" i="7"/>
  <c r="C39" i="13"/>
  <c r="C12" i="13"/>
  <c r="D32" i="10"/>
  <c r="C41" i="13"/>
  <c r="C14" i="13"/>
  <c r="C28" i="13"/>
  <c r="G33" i="10" l="1"/>
  <c r="F18" i="8"/>
  <c r="C18" i="8" s="1"/>
  <c r="C17" i="8"/>
  <c r="G34" i="10" l="1"/>
  <c r="G36" i="10"/>
  <c r="G37" i="10"/>
  <c r="H33" i="10" l="1"/>
  <c r="H36" i="10" s="1"/>
  <c r="I33" i="10" l="1"/>
  <c r="I34" i="10" s="1"/>
  <c r="H34" i="10"/>
  <c r="H37" i="10"/>
  <c r="I37" i="10" l="1"/>
  <c r="I36" i="10"/>
  <c r="J33" i="10" l="1"/>
  <c r="J34" i="10" l="1"/>
  <c r="J37" i="10"/>
  <c r="J36" i="10"/>
  <c r="K33" i="10" l="1"/>
  <c r="K34" i="10" s="1"/>
  <c r="K36" i="10" l="1"/>
  <c r="K37" i="10"/>
  <c r="L33" i="10" l="1"/>
  <c r="L34" i="10" s="1"/>
  <c r="L36" i="10" l="1"/>
  <c r="L37" i="10"/>
  <c r="M33" i="10" l="1"/>
  <c r="M34" i="10" s="1"/>
  <c r="M37" i="10" l="1"/>
  <c r="M36" i="10"/>
  <c r="N33" i="10" l="1"/>
  <c r="N34" i="10" s="1"/>
  <c r="D44" i="10" s="1"/>
  <c r="N36" i="10" l="1"/>
  <c r="N37" i="10"/>
  <c r="O33" i="10" l="1"/>
  <c r="O34" i="10" s="1"/>
  <c r="O36" i="10" l="1"/>
  <c r="O37" i="10"/>
  <c r="P33" i="10" l="1"/>
  <c r="P34" i="10" s="1"/>
  <c r="P37" i="10" l="1"/>
  <c r="P36" i="10"/>
  <c r="Q33" i="10" l="1"/>
  <c r="Q34" i="10" s="1"/>
  <c r="Q36" i="10" l="1"/>
  <c r="Q37" i="10"/>
  <c r="R33" i="10" l="1"/>
  <c r="R34" i="10" s="1"/>
  <c r="R36" i="10" l="1"/>
  <c r="R37" i="10"/>
  <c r="S33" i="10" l="1"/>
  <c r="S34" i="10" s="1"/>
  <c r="S37" i="10" l="1"/>
  <c r="S36" i="10"/>
  <c r="T33" i="10" l="1"/>
  <c r="T37" i="10" s="1"/>
  <c r="T34" i="10" l="1"/>
  <c r="U33" i="10"/>
  <c r="T36" i="10"/>
  <c r="U36" i="10" l="1"/>
  <c r="U34" i="10"/>
  <c r="D33" i="10"/>
  <c r="U37" i="10"/>
  <c r="D37" i="10" s="1"/>
  <c r="D35" i="10" l="1"/>
  <c r="F99" i="5" s="1"/>
  <c r="D34" i="10"/>
  <c r="C29" i="13" l="1"/>
  <c r="C42" i="13"/>
  <c r="C15" i="13"/>
</calcChain>
</file>

<file path=xl/sharedStrings.xml><?xml version="1.0" encoding="utf-8"?>
<sst xmlns="http://schemas.openxmlformats.org/spreadsheetml/2006/main" count="1887" uniqueCount="1167">
  <si>
    <t>概念性方案设计主要技术经济指标表</t>
  </si>
  <si>
    <t>项           目</t>
  </si>
  <si>
    <t>计量单位</t>
  </si>
  <si>
    <t>规划指标</t>
  </si>
  <si>
    <t>其中：可售面积</t>
  </si>
  <si>
    <t>备注</t>
  </si>
  <si>
    <t>GHZB_JZQGH_YD</t>
  </si>
  <si>
    <t>一、规划总用地</t>
  </si>
  <si>
    <t>公顷</t>
  </si>
  <si>
    <t>GHZB_JZQGH_JZQ_YD</t>
  </si>
  <si>
    <t xml:space="preserve">  1、建设用地</t>
  </si>
  <si>
    <t>GHZB_JZQGH_JZQ_ZhuZhai_YD</t>
  </si>
  <si>
    <t xml:space="preserve">  （1）住宅用地</t>
  </si>
  <si>
    <t>GHZB_JZQGH_JZQ_GongJian_YD</t>
  </si>
  <si>
    <t xml:space="preserve">  （2）公建用地</t>
  </si>
  <si>
    <t>GHZB_JZQGH_JZQ_DaoLu_YD</t>
  </si>
  <si>
    <t xml:space="preserve">  （3）道路用地</t>
  </si>
  <si>
    <t>GHZB_JZQGH_JZQ_GongGongLvHua_YD</t>
  </si>
  <si>
    <t xml:space="preserve">  （4）公共绿化用地</t>
  </si>
  <si>
    <t>GHZB_JZQGH_JZQ_GongGongSheShi_YD</t>
  </si>
  <si>
    <t xml:space="preserve">  （5）公共设施用地</t>
  </si>
  <si>
    <t>GHZB_JZQGH_DZD_YD</t>
  </si>
  <si>
    <t xml:space="preserve">  2、代征地</t>
  </si>
  <si>
    <t>GHZB_JZQGH_DZD_DaiZhengDaoLu_YD</t>
  </si>
  <si>
    <t xml:space="preserve">  （1）代征道路用地</t>
  </si>
  <si>
    <t>GHZB_JZQGH_DZD_DaiZhengLvHua_YD</t>
  </si>
  <si>
    <t xml:space="preserve">  （2）代征绿化用地</t>
  </si>
  <si>
    <t>GHZB_JZQGH_DZD_DaiZhengQiTa_YD</t>
  </si>
  <si>
    <t xml:space="preserve">  （3）代征其它用地</t>
  </si>
  <si>
    <t>GHZB_ZJZMJ_MJ</t>
  </si>
  <si>
    <t>二、总建筑面积</t>
  </si>
  <si>
    <t>平方米</t>
  </si>
  <si>
    <t>GHZB_ZJZMJ_DiShang_MJ</t>
  </si>
  <si>
    <t xml:space="preserve">  总地上建筑面积</t>
  </si>
  <si>
    <t>GHZB_ZJZMJ_DiShang_ZhuZhai_MJ</t>
  </si>
  <si>
    <t xml:space="preserve">  其中：住宅建筑面积</t>
  </si>
  <si>
    <t>GHZB_ZJZMJ_DiShang_ZhuZhai_FeiPuTong_MJ</t>
  </si>
  <si>
    <t xml:space="preserve">        (其中非普通住宅)</t>
  </si>
  <si>
    <t>GHZB_ZJZMJ_DiShang_GongJian_MJ</t>
  </si>
  <si>
    <t xml:space="preserve">        公建建筑面积</t>
  </si>
  <si>
    <t>GHZB_ZJZMJ_DiShang_GongGongPeiTao_MJ</t>
  </si>
  <si>
    <t xml:space="preserve">        公共配套建筑面积</t>
  </si>
  <si>
    <t>GHZB_ZJZMJ_DiShang_ShangPinFang_MJ</t>
  </si>
  <si>
    <t xml:space="preserve">  (其中地上商品住宅及公建总面积)</t>
  </si>
  <si>
    <t>GHZB_ZJZMJ_DiXia_MJ</t>
  </si>
  <si>
    <t xml:space="preserve">  总地下建筑面积</t>
  </si>
  <si>
    <t>GHZB_ZJZMJ_DiXia_CheKu_MJ</t>
  </si>
  <si>
    <t xml:space="preserve">  其中：车库建筑面积</t>
  </si>
  <si>
    <t>GHZB_ZJZMJ_DiXia_PeiTaoYongFang_MJ</t>
  </si>
  <si>
    <t xml:space="preserve">       公建及设备用房建筑面积</t>
  </si>
  <si>
    <t>GHZB_ZJZMJ_DiXia_QiZhongRenFang_MJ</t>
  </si>
  <si>
    <t xml:space="preserve">  (其中总的人防面积）</t>
  </si>
  <si>
    <t>GHZB_ZJZMJ_QS:一期_MJ</t>
  </si>
  <si>
    <t>一期</t>
  </si>
  <si>
    <t>GHZB_ZJZMJ_QS:一期_DSJZ_MJ</t>
  </si>
  <si>
    <t xml:space="preserve">  (一）、地上建筑面积</t>
  </si>
  <si>
    <t>GHZB_ZJZMJ_QS:一期_DSJZ_JiRong_MJ</t>
  </si>
  <si>
    <t xml:space="preserve">    1、地上计容面积</t>
  </si>
  <si>
    <t>GHZB_ZJZMJ_QS:一期_DSJZ_ZhuZhai_MJ</t>
  </si>
  <si>
    <t xml:space="preserve">      (1)住宅建筑面积</t>
  </si>
  <si>
    <t>GHZB_ZJZMJ_QS:一期_DSJZ_ZhuZhai_LX:普宅_MJ</t>
  </si>
  <si>
    <t xml:space="preserve">        普宅</t>
  </si>
  <si>
    <t>GHZB_ZJZMJ_QS:一期_DSJZ_ZhuZhai_LX:非普宅_MJ</t>
  </si>
  <si>
    <t xml:space="preserve">        非普宅</t>
  </si>
  <si>
    <t>GHZB_ZJZMJ_QS:一期_DSJZ_GongJian_MJ</t>
  </si>
  <si>
    <t xml:space="preserve">      (2)公建建筑面积</t>
  </si>
  <si>
    <t>GHZB_ZJZMJ_QS:一期_DSJZ_GongGongPeiTao_MJ</t>
  </si>
  <si>
    <t xml:space="preserve">      (3)公共配套建筑面积</t>
  </si>
  <si>
    <t>GHZB_ZJZMJ_QS:一期_DSJZ_GongGongPeiTao_LX:配套_MJ</t>
  </si>
  <si>
    <t xml:space="preserve">        配套</t>
  </si>
  <si>
    <t>GHZB_ZJZMJ_QS:一期_DSJZ_GongGongPeiTao_LX:其他_MJ</t>
  </si>
  <si>
    <t xml:space="preserve">        其他</t>
  </si>
  <si>
    <t>GHZB_ZJZMJ_QS:一期_DSJZ_BuJiRong_MJ</t>
  </si>
  <si>
    <t xml:space="preserve">   2、地上不计容面积</t>
  </si>
  <si>
    <t>GHZB_ZJZMJ_QS:一期_DXJZ_MJ</t>
  </si>
  <si>
    <t xml:space="preserve">  (二)、地下建筑面积</t>
  </si>
  <si>
    <t>GHZB_ZJZMJ_QS:一期_DXJZ_CheKu_MJ</t>
  </si>
  <si>
    <t xml:space="preserve">     1、车库建筑面积</t>
  </si>
  <si>
    <t>GHZB_ZJZMJ_QS:一期_DXJZ_CheKuRenFang_MJ</t>
  </si>
  <si>
    <t>其中：人防面积</t>
  </si>
  <si>
    <t>GHZB_ZJZMJ_QS:一期_DXJZ_GongJian_MJ</t>
  </si>
  <si>
    <t xml:space="preserve">     2、公建及设备用房建筑面积</t>
  </si>
  <si>
    <t>GHZB_ZJZMJ_QS:一期_DXJZ_GongJianRenFang_MJ</t>
  </si>
  <si>
    <t>GHZB_ZJZMJ_QS:一期_DXJZ_GjSbyf_LX:仓储_MJ</t>
  </si>
  <si>
    <t xml:space="preserve">    仓储</t>
  </si>
  <si>
    <t>GHZB_ZJZMJ_QS:一期_DXJZ_GjSbyf_LX:设备用房_MJ</t>
  </si>
  <si>
    <t xml:space="preserve">    设备用房</t>
  </si>
  <si>
    <t>GHZB_ZJZMJ_QS:一期_DXJZ_GjSbyf_LX:地下商业_MJ</t>
  </si>
  <si>
    <t xml:space="preserve">    地下商业</t>
  </si>
  <si>
    <t>GHZB_ZJZMJ_QS:一期_DXJZ_GjSbyf_LX:非机动车库及其他_MJ</t>
  </si>
  <si>
    <t xml:space="preserve">    非机动车库及其他</t>
  </si>
  <si>
    <t>GHZB_GuiHuaHuShu</t>
  </si>
  <si>
    <t>三、规划户（套）数</t>
  </si>
  <si>
    <t>户</t>
  </si>
  <si>
    <t>GHZB_GuiHuaHuShu_90YiShang</t>
  </si>
  <si>
    <t xml:space="preserve">  1、90平方米以上户数</t>
  </si>
  <si>
    <t>GHZB_GuiHuaHuShu_90YiXia</t>
  </si>
  <si>
    <t xml:space="preserve">  2、90平方米以下户数</t>
  </si>
  <si>
    <t>GHZB_GuiHuaRenShu</t>
  </si>
  <si>
    <t>四、规划人数</t>
  </si>
  <si>
    <t>人</t>
  </si>
  <si>
    <t>GHZB_RenKouMaoMiDu</t>
  </si>
  <si>
    <t>五、人口毛密度</t>
  </si>
  <si>
    <t>人/公顷</t>
  </si>
  <si>
    <t>GHZB_JianZhuKongGao_M</t>
  </si>
  <si>
    <t>六、建筑控高</t>
  </si>
  <si>
    <t>米</t>
  </si>
  <si>
    <t>36(45)</t>
  </si>
  <si>
    <t>GHZB_RongJiLv</t>
  </si>
  <si>
    <t>七、容积率</t>
  </si>
  <si>
    <t>GHZB_JianZhuMiDu</t>
  </si>
  <si>
    <t>八、建筑密度</t>
  </si>
  <si>
    <t>%</t>
  </si>
  <si>
    <t>GHZB_TCW_G</t>
  </si>
  <si>
    <t>九、停车位</t>
  </si>
  <si>
    <t>个</t>
  </si>
  <si>
    <t>GHZB_TCW_DiShang_G</t>
  </si>
  <si>
    <t xml:space="preserve">  1、地上停车位</t>
  </si>
  <si>
    <t>GHZB_TCW_DiXia_G</t>
  </si>
  <si>
    <t xml:space="preserve">  2、地下停车位</t>
  </si>
  <si>
    <t>GHZB_LvDiLv</t>
  </si>
  <si>
    <t>十、绿地率</t>
  </si>
  <si>
    <t>项目预计建设标准</t>
  </si>
  <si>
    <t>范围信息</t>
  </si>
  <si>
    <t>产品类型</t>
  </si>
  <si>
    <t>建筑面积</t>
  </si>
  <si>
    <t>基础形式</t>
  </si>
  <si>
    <t>结构形式</t>
  </si>
  <si>
    <t>精装修</t>
  </si>
  <si>
    <t>层数\层高</t>
  </si>
  <si>
    <t>住宅</t>
  </si>
  <si>
    <t>是/否</t>
  </si>
  <si>
    <t>公建</t>
  </si>
  <si>
    <t>……</t>
  </si>
  <si>
    <t>建设标准信息</t>
  </si>
  <si>
    <t>项目名称</t>
  </si>
  <si>
    <t>位置</t>
  </si>
  <si>
    <t>分项工程</t>
  </si>
  <si>
    <t>主要材料</t>
  </si>
  <si>
    <t>标准\品牌\造价水平</t>
  </si>
  <si>
    <t>外装修标准</t>
  </si>
  <si>
    <t>1~3层</t>
  </si>
  <si>
    <t>外墙面</t>
  </si>
  <si>
    <t>石材</t>
  </si>
  <si>
    <t>4层以上</t>
  </si>
  <si>
    <t>涂料</t>
  </si>
  <si>
    <t>铝板装饰线</t>
  </si>
  <si>
    <t>外窗</t>
  </si>
  <si>
    <t>断桥铝合金中空玻璃</t>
  </si>
  <si>
    <t>地上标准</t>
  </si>
  <si>
    <t>户内</t>
  </si>
  <si>
    <t>起居室</t>
  </si>
  <si>
    <t>地面</t>
  </si>
  <si>
    <t>墙面</t>
  </si>
  <si>
    <t>天棚</t>
  </si>
  <si>
    <t>卧室</t>
  </si>
  <si>
    <t>居室门</t>
  </si>
  <si>
    <t>厨房</t>
  </si>
  <si>
    <t>厨具</t>
  </si>
  <si>
    <t>卫生间</t>
  </si>
  <si>
    <t>洁具</t>
  </si>
  <si>
    <t>公共部位</t>
  </si>
  <si>
    <t>楼梯</t>
  </si>
  <si>
    <t>踢脚</t>
  </si>
  <si>
    <t>扶手</t>
  </si>
  <si>
    <t>大堂</t>
  </si>
  <si>
    <t>电梯前室</t>
  </si>
  <si>
    <t>地下标准</t>
  </si>
  <si>
    <t>设备层</t>
  </si>
  <si>
    <t>电梯厅</t>
  </si>
  <si>
    <t>设备标准</t>
  </si>
  <si>
    <t>电梯</t>
  </si>
  <si>
    <t>智能监控</t>
  </si>
  <si>
    <t>供暖</t>
  </si>
  <si>
    <t>空调</t>
  </si>
  <si>
    <t>环境工程</t>
  </si>
  <si>
    <t>绿化</t>
  </si>
  <si>
    <t>庭院</t>
  </si>
  <si>
    <t>围墙</t>
  </si>
  <si>
    <t>开发建设进度表</t>
  </si>
  <si>
    <t>2023年</t>
  </si>
  <si>
    <t>2024年</t>
  </si>
  <si>
    <t>2025年</t>
  </si>
  <si>
    <t>2026年</t>
  </si>
  <si>
    <t>1季度</t>
  </si>
  <si>
    <t>2季度</t>
  </si>
  <si>
    <t>3季度</t>
  </si>
  <si>
    <t>4季度</t>
  </si>
  <si>
    <t>JD_ZQ_XMQQ_ZQ</t>
  </si>
  <si>
    <t>项目前期周期</t>
  </si>
  <si>
    <t>JD_ZQ_QiShu:一期_ZhengTi_GongChengJianShe_ZQ</t>
  </si>
  <si>
    <t xml:space="preserve"> 一期周期</t>
  </si>
  <si>
    <t>整体周期</t>
  </si>
  <si>
    <t>工程建设周期</t>
  </si>
  <si>
    <t>JD_ZQ_QiShu:一期_ZhengTi_XiaoShou_ZQ</t>
  </si>
  <si>
    <t>销售周期</t>
  </si>
  <si>
    <t>JD_ZQ_QiShu:一期_ZhuZhai_LX:普宅_JSZQ</t>
  </si>
  <si>
    <t>普宅</t>
  </si>
  <si>
    <t>JD_ZQ_QiShu:一期_ZhuZhai_LX:普宅_XSZQ</t>
  </si>
  <si>
    <t>JD_ZQ_QiShu:一期_ZhuZhai_LX:非普宅_JSZQ</t>
  </si>
  <si>
    <t>非普宅</t>
  </si>
  <si>
    <t>JD_ZQ_QiShu:一期_ZhuZhai_LX:非普宅_XSZQ</t>
  </si>
  <si>
    <t>JD_KZJD_XMQQ_QianDingTuDiHeTong_SJ</t>
  </si>
  <si>
    <t>项目控制节点完成时间</t>
  </si>
  <si>
    <t>项目 前期</t>
  </si>
  <si>
    <t>签订土地使用权出让合同</t>
  </si>
  <si>
    <t>JD_KZJD_XMQQ_LiXiangWanCheng_SJ</t>
  </si>
  <si>
    <t>立项完成时间</t>
  </si>
  <si>
    <t>JD_KZJD_XMQQ_XuKeZhengWanCheng_SJ</t>
  </si>
  <si>
    <t>建设工程规划许可证完成时间</t>
  </si>
  <si>
    <t>JD_KZJD_XMQQ_QuDeKaiGongZheng_SJ</t>
  </si>
  <si>
    <t>取得开工证时间</t>
  </si>
  <si>
    <t>JD_KZJD_GCJSQS:一期_KaiGong_SJ</t>
  </si>
  <si>
    <t>工程建设一期</t>
  </si>
  <si>
    <t>开工时间</t>
  </si>
  <si>
    <t>JD_KZJD_GCJSQS:一期_Chu±0.00_SJ</t>
  </si>
  <si>
    <t>出±0.00时间</t>
  </si>
  <si>
    <t>JD_KZJD_GCJSQS:一期_JieGouFengDing_SJ</t>
  </si>
  <si>
    <t>结构封顶时间</t>
  </si>
  <si>
    <t>JD_KZJD_GCJSQS:一期_ShiZhengLvHua_SJ</t>
  </si>
  <si>
    <t>区内市政及环境绿化工程插入时间</t>
  </si>
  <si>
    <t>JD_KZJD_GCJSQS:一期_ZhuZhaiJunGongJiaoYong_SJ</t>
  </si>
  <si>
    <t>住宅竣工时间</t>
  </si>
  <si>
    <t>JD_KZJD_GCJSQS:一期_ZhuZhaiRuZhuJiaoYong_SJ</t>
  </si>
  <si>
    <t>住宅入住交用时间</t>
  </si>
  <si>
    <t>JD_KZJD_GCJSQS:一期_GongJianJunGongJiaoYong_SJ</t>
  </si>
  <si>
    <t>公建竣工时间</t>
  </si>
  <si>
    <t>JD_KZJD_GCJSQS:一期_GongJianRuZhuJiaoYong_SJ</t>
  </si>
  <si>
    <t>公建入住交用时间</t>
  </si>
  <si>
    <t>JD_KZJD_ShouLouChuKaiFang_SJ</t>
  </si>
  <si>
    <t>（样板间、示范区）售楼处开放时间</t>
  </si>
  <si>
    <t>JD_KZJD_XSQS:一期_JiHuaKaiPan_SJ</t>
  </si>
  <si>
    <t>销售 一期</t>
  </si>
  <si>
    <t>计划开盘时间</t>
  </si>
  <si>
    <t>JD_KZJD_XSQS:一期_WanChengXiaoShou_SJ</t>
  </si>
  <si>
    <t>完成销售时间</t>
  </si>
  <si>
    <t>JD_KZJD_LeiJiXianJinFuZhuanZheng_SJ</t>
  </si>
  <si>
    <t>累计现金流由负转正时间</t>
  </si>
  <si>
    <t>地下货值分析</t>
  </si>
  <si>
    <t>商品住宅户数（户）</t>
  </si>
  <si>
    <t>XXX</t>
  </si>
  <si>
    <t>保障性租赁住房户数（户）</t>
  </si>
  <si>
    <t>地下部分货值总计（万元）</t>
  </si>
  <si>
    <t>备注：</t>
  </si>
  <si>
    <t>类别</t>
  </si>
  <si>
    <t>公租房地下公摊</t>
  </si>
  <si>
    <t>商品房地下公摊</t>
  </si>
  <si>
    <t>普通商品住宅下跃</t>
  </si>
  <si>
    <t>别墅下跃</t>
  </si>
  <si>
    <t>地下商业</t>
  </si>
  <si>
    <t>独立地下仓储</t>
  </si>
  <si>
    <t>产权车位</t>
  </si>
  <si>
    <t>人防车位</t>
  </si>
  <si>
    <t>计算货值车位个数合计</t>
  </si>
  <si>
    <t>计算货值车位户配比</t>
  </si>
  <si>
    <t>计算货值个数</t>
  </si>
  <si>
    <t>计算货值户配比</t>
  </si>
  <si>
    <t>配置原则</t>
  </si>
  <si>
    <t xml:space="preserve">  地下部分均价不高于商品住宅地上部分售价的1/3；</t>
  </si>
  <si>
    <t xml:space="preserve">  地下部分均价在商品住宅地上部分售价的1/2-1/3区间内；严重价格倒挂的限价等特殊项目另议。</t>
  </si>
  <si>
    <t xml:space="preserve">  1.仓储个数原则不高于商品住宅户数的0.3；
  2.单套面积在15-20平米；
  3.均价原则不高于商品住宅地上部分售价的15%</t>
  </si>
  <si>
    <t xml:space="preserve">  1.可出售车位个数计算原则：视项目位置按0.5-1个/户计算货值，剩余车位原则上不计算货值。二层级公司若有相近竞品或本公司类似案例等充足依据，需详细说明并经股份公司同意后方可按一定比例折价计算剩余车位货值；尊系等高端改善类、别墅类产品或特殊项目视情况单议。
  2.人防（无产权）车位售价原则不高于产权车位的1/2。</t>
  </si>
  <si>
    <t>商品住宅配置个（套）数</t>
  </si>
  <si>
    <t>—</t>
  </si>
  <si>
    <t>保障性租赁住房配置个（套）数</t>
  </si>
  <si>
    <t>面积（㎡）</t>
  </si>
  <si>
    <t>均价（元/㎡，元/个）</t>
  </si>
  <si>
    <t>货值（万元）</t>
  </si>
  <si>
    <t>销售收入进度汇总表</t>
  </si>
  <si>
    <t>封顶（5月）</t>
  </si>
  <si>
    <t>竣工（7月）</t>
  </si>
  <si>
    <t>建设期数</t>
  </si>
  <si>
    <t>项目</t>
  </si>
  <si>
    <t>小计(含税)</t>
  </si>
  <si>
    <t>小计</t>
  </si>
  <si>
    <t>SRCS_XiaoShou</t>
  </si>
  <si>
    <t>一</t>
  </si>
  <si>
    <t>销售收入</t>
  </si>
  <si>
    <t>SRCS_QS:一期_ZhuZhai_LX:普宅_KeShouMianJi</t>
  </si>
  <si>
    <t>销售面积(M2)</t>
  </si>
  <si>
    <t>SRCS_QS:一期_ZhuZhai_LX:普宅_XiaoShouDanJia</t>
  </si>
  <si>
    <t>销售单价(元)</t>
  </si>
  <si>
    <t>SRCS_QS:一期_ZhuZhai_LX:普宅_XiaoShouLv</t>
  </si>
  <si>
    <t>销售率(%)</t>
  </si>
  <si>
    <t>SRCS_QS:一期_ZhuZhai_LX:普宅_HeTongXiaoShouShouRu</t>
  </si>
  <si>
    <t>签约金额(万元)</t>
  </si>
  <si>
    <t>SRCS_QS:一期_ZhuZhai_LX:普宅_HuiKuanLv</t>
  </si>
  <si>
    <t>回款率(%)</t>
  </si>
  <si>
    <t>SRCS_QS:一期_ZhuZhai_LX:普宅_DaoZhangHuiKuanE</t>
  </si>
  <si>
    <t>到帐回款额(万元)</t>
  </si>
  <si>
    <t>SRCS_QS:一期_ZhuZhai_LX:普宅_XSFYTiQuBiLi</t>
  </si>
  <si>
    <t>销售费用提取比例(%)</t>
  </si>
  <si>
    <t>SRCS_QS:一期_ZhuZhai_LX:普宅_XiaoShouFeiYong</t>
  </si>
  <si>
    <t>销售费用(万元)</t>
  </si>
  <si>
    <t>SRCS_QS:一期_ZhuZhai_LX:非普宅_KeShouMianJi</t>
  </si>
  <si>
    <t>SRCS_QS:一期_ZhuZhai_LX:非普宅_XiaoShouDanJia</t>
  </si>
  <si>
    <t>SRCS_QS:一期_ZhuZhai_LX:非普宅_XiaoShouLv</t>
  </si>
  <si>
    <t>SRCS_QS:一期_ZhuZhai_LX:非普宅_HeTongXiaoShouShouRu</t>
  </si>
  <si>
    <t>SRCS_QS:一期_ZhuZhai_LX:非普宅_HuiKuanLv</t>
  </si>
  <si>
    <t>SRCS_QS:一期_ZhuZhai_LX:非普宅_DaoZhangHuiKuanE</t>
  </si>
  <si>
    <t>SRCS_QS:一期_ZhuZhai_LX:非普宅_XSFYTiQuBiLi</t>
  </si>
  <si>
    <t>SRCS_QS:一期_ZhuZhai_LX:非普宅_XiaoShouFeiYong</t>
  </si>
  <si>
    <t>SRCS_QS:一期_ZhuZhai_HeJi_KeShouMianJi</t>
  </si>
  <si>
    <t>住宅合计</t>
  </si>
  <si>
    <t>住宅销售面积(M2)</t>
  </si>
  <si>
    <t>SRCS_QS:一期_ZhuZhai_HeJi_PingJunShouJia</t>
  </si>
  <si>
    <t>住宅平均销售单价(元)</t>
  </si>
  <si>
    <t>SRCS_QS:一期_ZhuZhai_HeJi_HeTongShouRu</t>
  </si>
  <si>
    <t>住宅签约金额(万元)</t>
  </si>
  <si>
    <t>SRCS_QS:一期_ZhuZhai_HeJi_HuiKuanE</t>
  </si>
  <si>
    <t>住宅回款额(万元)</t>
  </si>
  <si>
    <t>SRCS_QS:一期_GjSbyf_LX:仓储_KeShouMianJi</t>
  </si>
  <si>
    <t>可售地下公建及设备用房</t>
  </si>
  <si>
    <t>仓储</t>
  </si>
  <si>
    <t>SRCS_QS:一期_GjSbyf_LX:仓储_XiaoShouDanJia</t>
  </si>
  <si>
    <t>SRCS_QS:一期_GjSbyf_LX:仓储_XiaoShouLv</t>
  </si>
  <si>
    <t>SRCS_QS:一期_GjSbyf_LX:仓储_HeTongXiaoShouShouRu</t>
  </si>
  <si>
    <t>SRCS_QS:一期_GjSbyf_LX:仓储_HuiKuanLv</t>
  </si>
  <si>
    <t>SRCS_QS:一期_GjSbyf_LX:仓储_DaoZhangHuiKuanE</t>
  </si>
  <si>
    <t>SRCS_QS:一期_GjSbyf_LX:仓储_XSFYTiQuBiLi</t>
  </si>
  <si>
    <t>F</t>
  </si>
  <si>
    <t>SRCS_QS:一期_GjSbyf_LX:仓储_XiaoShouFeiYong</t>
  </si>
  <si>
    <t>SRCS_QS:一期_GjSbyf_LX:设备用房_KeShouMianJi</t>
  </si>
  <si>
    <t>设备用房</t>
  </si>
  <si>
    <t>SRCS_QS:一期_GjSbyf_LX:设备用房_XiaoShouDanJia</t>
  </si>
  <si>
    <t>SRCS_QS:一期_GjSbyf_LX:设备用房_XiaoShouLv</t>
  </si>
  <si>
    <t>SRCS_QS:一期_GjSbyf_LX:设备用房_HeTongXiaoShouShouRu</t>
  </si>
  <si>
    <t>SRCS_QS:一期_GjSbyf_LX:设备用房_HuiKuanLv</t>
  </si>
  <si>
    <t>SRCS_QS:一期_GjSbyf_LX:设备用房_DaoZhangHuiKuanE</t>
  </si>
  <si>
    <t>SRCS_QS:一期_GjSbyf_LX:设备用房_XSFYTiQuBiLi</t>
  </si>
  <si>
    <t>SRCS_QS:一期_GjSbyf_LX:设备用房_XiaoShouFeiYong</t>
  </si>
  <si>
    <t>SRCS_QS:一期_GjSbyf_LX:地下商业_KeShouMianJi</t>
  </si>
  <si>
    <t>SRCS_QS:一期_GjSbyf_LX:地下商业_XiaoShouDanJia</t>
  </si>
  <si>
    <t>SRCS_QS:一期_GjSbyf_LX:地下商业_XiaoShouLv</t>
  </si>
  <si>
    <t>SRCS_QS:一期_GjSbyf_LX:地下商业_HeTongXiaoShouShouRu</t>
  </si>
  <si>
    <t>SRCS_QS:一期_GjSbyf_LX:地下商业_HuiKuanLv</t>
  </si>
  <si>
    <t>SRCS_QS:一期_GjSbyf_LX:地下商业_DaoZhangHuiKuanE</t>
  </si>
  <si>
    <t>SRCS_QS:一期_GjSbyf_LX:地下商业_XSFYTiQuBiLi</t>
  </si>
  <si>
    <t>SRCS_QS:一期_GjSbyf_LX:地下商业_XiaoShouFeiYong</t>
  </si>
  <si>
    <t>SRCS_QS:一期_GjSbyf_HeJi_KeShouMianJi</t>
  </si>
  <si>
    <t>可售地下合计</t>
  </si>
  <si>
    <t>可售地下销售面积(M2)</t>
  </si>
  <si>
    <t>SRCS_QS:一期_GjSbyf_HeJi_PingJunShouJia</t>
  </si>
  <si>
    <t>可售地下平均销售单价(元)</t>
  </si>
  <si>
    <t>SRCS_QS:一期_GjSbyf_HeJi_HeTongShouRu</t>
  </si>
  <si>
    <t>可售地下签约金额(万元)</t>
  </si>
  <si>
    <t>SRCS_QS:一期_GjSbyf_HeJi_HuiKuanE</t>
  </si>
  <si>
    <t>可售地下回款额(万元)</t>
  </si>
  <si>
    <t>SRCS_QS:一期_HeJi_KeShouMianJi</t>
  </si>
  <si>
    <t>当期合计</t>
  </si>
  <si>
    <t>当期总销售面积(M2)</t>
  </si>
  <si>
    <t>SRCS_QS:一期_HeJi_PingJunShouJia</t>
  </si>
  <si>
    <t>当期平均销售单价(元)</t>
  </si>
  <si>
    <t>SRCS_QS:一期_HeJi_HeTongShouRu</t>
  </si>
  <si>
    <t>当期总签约金额(万元)</t>
  </si>
  <si>
    <t>SRCS_QS:一期_HeJi_HuiKuanE</t>
  </si>
  <si>
    <t>当期总回款额(万元)</t>
  </si>
  <si>
    <t>SRCS_QS:一期_HeJi_XiaoShouFeiYong</t>
  </si>
  <si>
    <t>SRCS_TCW_GeShu</t>
  </si>
  <si>
    <t>可售停车位</t>
  </si>
  <si>
    <t>地下停车位</t>
  </si>
  <si>
    <t>SRCS_TCW_XiaoShouDanJia</t>
  </si>
  <si>
    <r>
      <rPr>
        <sz val="11"/>
        <rFont val="宋体"/>
        <family val="3"/>
        <charset val="134"/>
      </rPr>
      <t>销售单价</t>
    </r>
    <r>
      <rPr>
        <sz val="11"/>
        <rFont val="Times New Roman"/>
        <family val="1"/>
      </rPr>
      <t>(</t>
    </r>
    <r>
      <rPr>
        <sz val="11"/>
        <rFont val="宋体"/>
        <family val="3"/>
        <charset val="134"/>
      </rPr>
      <t>元</t>
    </r>
    <r>
      <rPr>
        <sz val="11"/>
        <rFont val="Times New Roman"/>
        <family val="1"/>
      </rPr>
      <t>)</t>
    </r>
  </si>
  <si>
    <t>SRCS_TCW_XiaoShouLv</t>
  </si>
  <si>
    <t>SRCS_TCW_HeTongXiaoShouShouRu</t>
  </si>
  <si>
    <t>SRCS_TCW_HuiKuanLv</t>
  </si>
  <si>
    <t>SRCS_TCW_DaoZhangHuiKuanE</t>
  </si>
  <si>
    <t>SRCS_TCW_XSFYTiQuBiLi</t>
  </si>
  <si>
    <t>SRCS_TCW_XiaoShouFeiYong</t>
  </si>
  <si>
    <t>SRCS_Zong_JPBZF_KeShouMianJi</t>
  </si>
  <si>
    <t>竞拍保障房</t>
  </si>
  <si>
    <t>SRCS_Zong_JPBZF_XiaoShouDanJia</t>
  </si>
  <si>
    <t>SRCS_Zong_JPBZF_XiaoShouLv</t>
  </si>
  <si>
    <t>SRCS_Zong_JPBZF_HeTongXiaoShouShouRu</t>
  </si>
  <si>
    <t>SRCS_Zong_JPBZF_HuiKuanLv</t>
  </si>
  <si>
    <t>SRCS_Zong_JPBZF_DaoZhangHuiKuanE</t>
  </si>
  <si>
    <t>SRCS_Zong_JPBZF_XSFYTiQuBiLi</t>
  </si>
  <si>
    <t>SRCS_Zong_JPBZF_XiaoShouFeiYong</t>
  </si>
  <si>
    <t>SRCS_Zong_ZhuZhai_HeJi_KeShouMianJi</t>
  </si>
  <si>
    <t>总售住宅面积(M2)</t>
  </si>
  <si>
    <t>SRCS_Zong_ZhuZhai_HeJi_PingJunShouJia</t>
  </si>
  <si>
    <t>住宅平均售价(元)</t>
  </si>
  <si>
    <t>SRCS_Zong_GongJian_HeJi_KeShouMianJi</t>
  </si>
  <si>
    <t>总可售公建面积(M2)</t>
  </si>
  <si>
    <t>SRCS_Zong_GongJian_HeJi_PingJunShouJia</t>
  </si>
  <si>
    <t>公建平均售价(元)</t>
  </si>
  <si>
    <t>SRCS_Zong_ZhuZhai_HeJi_HuiKuanE</t>
  </si>
  <si>
    <t>住宅总销售额(万元)</t>
  </si>
  <si>
    <t>SRCS_Zong_GongJian_HeJi_HuiKuanE</t>
  </si>
  <si>
    <t>公建总销售额(万元)</t>
  </si>
  <si>
    <t>SRCS_Zong_GongGongPeiTao_HeJi_HuiKuanE</t>
  </si>
  <si>
    <t>公共配套总销售额(万元)</t>
  </si>
  <si>
    <t>SRCS_Zong_GjSbyf_HeJi_HuiKuanE</t>
  </si>
  <si>
    <t>地下可售总销售额(万元)</t>
  </si>
  <si>
    <t>SRCS_Zong_BuJiRong_HeJi_HuiKuanE</t>
  </si>
  <si>
    <t>不计容可售总销售额(万元)</t>
  </si>
  <si>
    <t>SRCS_Zong_ZengZhiShuiChuSuan_YuLeiJiXiaoShouMianJi</t>
  </si>
  <si>
    <t>增值税初算与各期累计销售面积</t>
  </si>
  <si>
    <t>SRCS_HeJi_ZongKeShouMianJi</t>
  </si>
  <si>
    <t>合计</t>
  </si>
  <si>
    <t>总销售面积(M2)</t>
  </si>
  <si>
    <t>SRCS_HeJi_PingJunShouJia</t>
  </si>
  <si>
    <t>平均售价（元）</t>
  </si>
  <si>
    <t>SRCS_HeJi_HeTongXiaoShouShouRu</t>
  </si>
  <si>
    <t>总签约金额（万元）</t>
  </si>
  <si>
    <t>SRCS_HeJi_ZongHuiKuanE</t>
  </si>
  <si>
    <t>总回款额(万元)</t>
  </si>
  <si>
    <t>SRCS_XiaoShouFeiYong</t>
  </si>
  <si>
    <t>二</t>
  </si>
  <si>
    <t>销售代理及推广费用</t>
  </si>
  <si>
    <t>销售代理及推广费用(万元)</t>
  </si>
  <si>
    <t>SRCS_FuJiaShui</t>
  </si>
  <si>
    <t>三</t>
  </si>
  <si>
    <t>增值税</t>
  </si>
  <si>
    <t>增值税(万元)</t>
  </si>
  <si>
    <t>SRCS_ZongHuiKuan_ChuQuYuShouZiJinJianGuan</t>
  </si>
  <si>
    <t>四</t>
  </si>
  <si>
    <t>总回款额（除去预售资金监管）</t>
  </si>
  <si>
    <t>备注：住宅、可售公建按建筑的具体类型填报明细。</t>
  </si>
  <si>
    <t>SRCS_YSJG_QS:一期_ZongE</t>
  </si>
  <si>
    <t>一期预售资金监管</t>
  </si>
  <si>
    <t>当期资金监管额度</t>
  </si>
  <si>
    <t>SRCS_YSJG_QS:一期_CunRu</t>
  </si>
  <si>
    <t>当期资金监管存入</t>
  </si>
  <si>
    <t>SRCS_YSJG_QS:一期_ZhiQu</t>
  </si>
  <si>
    <t>当期资金监管支取</t>
  </si>
  <si>
    <t>SRCS_YSJG_QS:一期_YuE</t>
  </si>
  <si>
    <t>当期监管资金余额</t>
  </si>
  <si>
    <t>SRCS_YSJG_HeJi_ZongCunRu</t>
  </si>
  <si>
    <t>预售资金监管合计</t>
  </si>
  <si>
    <t>资金监管合计存入</t>
  </si>
  <si>
    <t>SRCS_YSJG_HeJi_ZongZhiQu</t>
  </si>
  <si>
    <t>资金监管合计支取</t>
  </si>
  <si>
    <t>SRCS_YSJG_HeJi_ZongYuE</t>
  </si>
  <si>
    <t>总监管资金余额</t>
  </si>
  <si>
    <t>SRCS_LDTS_QS:一期_JinXiangShui</t>
  </si>
  <si>
    <t>一期留抵退税</t>
  </si>
  <si>
    <t>每季度进项税</t>
  </si>
  <si>
    <t>SRCS_LDTS_QS:一期_LeiJiShuiE</t>
  </si>
  <si>
    <t>累计进项税额</t>
  </si>
  <si>
    <t>SRCS_LDTS_QS:一期_DangQiTuiShuiLv</t>
  </si>
  <si>
    <t>进项税额退税税率</t>
  </si>
  <si>
    <t>SRCS_LDTS_QS:一期_TuiShuiE</t>
  </si>
  <si>
    <t>退税额</t>
  </si>
  <si>
    <t>SRCS_LDTS_ZongTuiShuiE</t>
  </si>
  <si>
    <t>留抵退税合计</t>
  </si>
  <si>
    <t>总退税额</t>
  </si>
  <si>
    <t>成本构成计算表</t>
  </si>
  <si>
    <t>序号</t>
  </si>
  <si>
    <t>投资额（万元）</t>
  </si>
  <si>
    <t>测算依据</t>
  </si>
  <si>
    <t>不含税投资额
(万元)</t>
  </si>
  <si>
    <t>增值税进(销)项税额</t>
  </si>
  <si>
    <t>增值税适用税率</t>
  </si>
  <si>
    <t>建筑面积      (平米)</t>
  </si>
  <si>
    <t>单方造价 （元/平米）</t>
  </si>
  <si>
    <t>所占比例（％）</t>
  </si>
  <si>
    <t>可售面积      (平米)</t>
  </si>
  <si>
    <t>可售单方 （元/平米）</t>
  </si>
  <si>
    <t>本值比总销售收入的比例</t>
  </si>
  <si>
    <t>测算依据说明</t>
  </si>
  <si>
    <t>住宅持有部分</t>
  </si>
  <si>
    <t>公建持有部分</t>
  </si>
  <si>
    <t>持有部分合计</t>
  </si>
  <si>
    <t>销售及其他部分合计</t>
  </si>
  <si>
    <t>整个项目合计</t>
  </si>
  <si>
    <t>投资额</t>
  </si>
  <si>
    <t>不含税投资额</t>
  </si>
  <si>
    <t>增值税税额</t>
  </si>
  <si>
    <t>CBGC_KFCB</t>
  </si>
  <si>
    <t>(一)</t>
  </si>
  <si>
    <t>项目土地费用及开发成本</t>
  </si>
  <si>
    <t>直接开发成本</t>
  </si>
  <si>
    <t>CBGC_KFCB_TuDi</t>
  </si>
  <si>
    <t>土地成本</t>
  </si>
  <si>
    <t>CBGC_KFCB_TuDi_DiJiaKuanFei</t>
  </si>
  <si>
    <t>地价款费</t>
  </si>
  <si>
    <t>CBGC_KFCB_TuDi_ZhengFuTuDiShouYi</t>
  </si>
  <si>
    <t>政府土地收益</t>
  </si>
  <si>
    <t>CBGC_KFCB_TuDi_ZhengDiChaiQianBuChang</t>
  </si>
  <si>
    <t>征地及拆迁补偿费</t>
  </si>
  <si>
    <t>CBGC_KFCB_TuDi_BuJiaoDiJiaKuan</t>
  </si>
  <si>
    <t>补交地价款</t>
  </si>
  <si>
    <t>CBGC_KFCB_TuDi_QiShui</t>
  </si>
  <si>
    <t>契税(地价款3%)</t>
  </si>
  <si>
    <t>CBGC_KFCB_TuDi_ChengShiJiChuSheShiFei</t>
  </si>
  <si>
    <t>城市基础设施建设费</t>
  </si>
  <si>
    <t>CBGC_KFCB_TuDi_ChengShiJiChuSheShiFei_ZhuZhai</t>
  </si>
  <si>
    <t>住宅的城市基础设施建设费</t>
  </si>
  <si>
    <t>CBGC_KFCB_TuDi_ChengShiJiChuSheShiFei_QiTa</t>
  </si>
  <si>
    <t>非住宅的城市基础设施建设费</t>
  </si>
  <si>
    <t>CBGC_KFCB_TuDi_QiTa1</t>
  </si>
  <si>
    <t>其他费用1</t>
  </si>
  <si>
    <t>CBGC_KFCB_TuDi_QiTa2</t>
  </si>
  <si>
    <t>其他费用2</t>
  </si>
  <si>
    <t>CBGC_KFCB_QianQi</t>
  </si>
  <si>
    <t>(二)</t>
  </si>
  <si>
    <t>前期工程费</t>
  </si>
  <si>
    <t>CBGC_KFCB_QianQi_KeYanZiXunFei</t>
  </si>
  <si>
    <t>前期可研咨询费</t>
  </si>
  <si>
    <t>CBGC_KFCB_QianQi_ZaoJiaZiXunFei</t>
  </si>
  <si>
    <t>造价咨询费</t>
  </si>
  <si>
    <t>CBGC_KFCB_QianQi_ZhaoBiaoLeiFei</t>
  </si>
  <si>
    <t>招标类费用</t>
  </si>
  <si>
    <t>CBGC_KFCB_QianQi_KanTanSheJiFei</t>
  </si>
  <si>
    <t>勘探、设计类费用</t>
  </si>
  <si>
    <t>CBGC_KFCB_QianQi_SanTongYiPingFei</t>
  </si>
  <si>
    <t>三通一平费</t>
  </si>
  <si>
    <t>CBGC_KFCB_QianQi_DiFangXingShouFei</t>
  </si>
  <si>
    <t>地方性收费</t>
  </si>
  <si>
    <t>CBGC_KFCB_QianQi_XingZhengLeiShouFei</t>
  </si>
  <si>
    <t>行政类收费</t>
  </si>
  <si>
    <t>CBGC_KFCB_QianQi_BaoXianDanBaoFei</t>
  </si>
  <si>
    <t>保险、担保类费用</t>
  </si>
  <si>
    <t>CBGC_KFCB_QianQi_QiTa</t>
  </si>
  <si>
    <t>其他费用</t>
  </si>
  <si>
    <t>CBGC_KFCB_JianAn</t>
  </si>
  <si>
    <t>(三)</t>
  </si>
  <si>
    <t>建筑、安装工程费</t>
  </si>
  <si>
    <t>CBGC_KFCB_JianAn_QS:一期_GCF</t>
  </si>
  <si>
    <t>一期建安工程费</t>
  </si>
  <si>
    <t>CBGC_KFCB_JianAn_QS:一期_ZhuZhai_LX:普宅_GCF</t>
  </si>
  <si>
    <t>普宅建安工程费</t>
  </si>
  <si>
    <t>CBGC_KFCB_JianAn_QS:DXQ_ZhuZhai_LX:ZZX_QZJG_GCF</t>
  </si>
  <si>
    <t>其中：甲供</t>
  </si>
  <si>
    <t>CBGC_KFCB_JianAn_QS:一期_ZhuZhai_LX:非普宅_GCF</t>
  </si>
  <si>
    <t>非普宅建安工程费</t>
  </si>
  <si>
    <t>CBGC_KFCB_JianAn_QS:一期_CheKu</t>
  </si>
  <si>
    <t>地下车库建安工程费</t>
  </si>
  <si>
    <t>CBGC_KFCB_JianAn_QS:一期_PuTong_CheKu</t>
  </si>
  <si>
    <t>其中：普通车库建安工程费</t>
  </si>
  <si>
    <t>CBGC_KFCB_JianAn_QS:一期_RenFang_CheKu</t>
  </si>
  <si>
    <t>其中：人防车库建安工程费</t>
  </si>
  <si>
    <t>CBGC_KFCB_JianAn_QS:一期_QZJG_CheKu</t>
  </si>
  <si>
    <t>CBGC_KFCB_JianAn_QS:一期_GjSbyf_LX:仓储_GCF</t>
  </si>
  <si>
    <t>仓储建安工程费</t>
  </si>
  <si>
    <t>CBGC_KFCB_JianAn_QS:DXQ_GjSbyf_LX:DXX_QZJG_GCF</t>
  </si>
  <si>
    <t>CBGC_KFCB_JianAn_QS:一期_GjSbyf_LX:设备用房_GCF</t>
  </si>
  <si>
    <t>设备用房建安工程费</t>
  </si>
  <si>
    <t>CBGC_KFCB_JianAn_QS:一期_GjSbyf_LX:地下商业_GCF</t>
  </si>
  <si>
    <t>地下商业建安工程费</t>
  </si>
  <si>
    <t>CBGC_KFCB_JianAn_QS:一期_GjSbyf_LX:非机动车库及其他_GCF</t>
  </si>
  <si>
    <t>非机动车库及其他建安工程费</t>
  </si>
  <si>
    <t>CBGC_KFCB_JianAn_GongChengJianLiFei</t>
  </si>
  <si>
    <t>-</t>
  </si>
  <si>
    <t>CBGC_KFCB_JianAn_JiaoYongFeiYong</t>
  </si>
  <si>
    <t>工程监理费交用费用</t>
  </si>
  <si>
    <t>CBGC_KFCB_JiJian</t>
  </si>
  <si>
    <t>(四)</t>
  </si>
  <si>
    <t>基础设施建设费</t>
  </si>
  <si>
    <t>CBGC_KFCB_JiJian_DaShiZheng</t>
  </si>
  <si>
    <t>大市政工程费</t>
  </si>
  <si>
    <t>CBGC_KFCB_JiJian_QuNeiShiZheng</t>
  </si>
  <si>
    <t>区内市政工程费</t>
  </si>
  <si>
    <t>CBGC_KFCB_JiJian_JingGuanFeiYong</t>
  </si>
  <si>
    <t>景观费用</t>
  </si>
  <si>
    <t>CBGC_KFCB_JiJian_GongChengJianLi</t>
  </si>
  <si>
    <t>工程监理费用</t>
  </si>
  <si>
    <t>CBGC_KFCB_GongJian</t>
  </si>
  <si>
    <t>(五)</t>
  </si>
  <si>
    <t>公共配套设施建设费</t>
  </si>
  <si>
    <t>CBGC_KFCB_GongJian_QS:一期_JSF</t>
  </si>
  <si>
    <t>一期公共配套设施建设费</t>
  </si>
  <si>
    <t>CBGC_KFCB_GongJian_QS:一期_GongGongPeiTao_LX:配套_JSF</t>
  </si>
  <si>
    <t>配套</t>
  </si>
  <si>
    <t>CBGC_KFCB_GongJian_QS:DXQ_GongGongPeiTao_LX:PTX_JSF_JG</t>
  </si>
  <si>
    <t>CBGC_KFCB_GongJian_QS:一期_GongGongPeiTao_LX:其他_JSF</t>
  </si>
  <si>
    <t>其他</t>
  </si>
  <si>
    <t>CBGC_KFCB_GongJian_QS:一期_PeiDian</t>
  </si>
  <si>
    <t>分界室、变配电室</t>
  </si>
  <si>
    <t>CBGC_KFCB_GongJian_QS:一期_RanQi</t>
  </si>
  <si>
    <t>通信机房等</t>
  </si>
  <si>
    <t>CBGC_KFCB_GongJian_QS:一期_HuanRe</t>
  </si>
  <si>
    <t>分布式能源站</t>
  </si>
  <si>
    <t>CBGC_KFCB_GongJian_QS:一期_LaJiLou</t>
  </si>
  <si>
    <t>垃圾楼</t>
  </si>
  <si>
    <t>CBGC_KFCB_GongJian_QS:一期_RanQiTiaYa</t>
  </si>
  <si>
    <t>燃气调压箱</t>
  </si>
  <si>
    <t>CBGC_KFCB_GongJian_QS:一期_XiaoFangBengFang</t>
  </si>
  <si>
    <t>消防泵房</t>
  </si>
  <si>
    <t>CBGC_KFCB_GongJian_GongChengJianLi</t>
  </si>
  <si>
    <t>工程监理费</t>
  </si>
  <si>
    <t>CBGC_KFCB_BuKeYuJianFei</t>
  </si>
  <si>
    <t>(六)</t>
  </si>
  <si>
    <t>不可预见费</t>
  </si>
  <si>
    <t>CBGC_KFCB_KaiFaJianJieFei</t>
  </si>
  <si>
    <t>(七)</t>
  </si>
  <si>
    <t>开发间接费</t>
  </si>
  <si>
    <t>CBGC_KFCB_QiTaFeiYong</t>
  </si>
  <si>
    <t>(八)</t>
  </si>
  <si>
    <t>其它直接开发费用</t>
  </si>
  <si>
    <t>CBGC_QJFY_HeJi</t>
  </si>
  <si>
    <t>期间费用</t>
  </si>
  <si>
    <t>CBGC_QJFY_GuanLiFeiYong</t>
  </si>
  <si>
    <t>管理费用</t>
  </si>
  <si>
    <t>CBGC_QJFY_CaiWuFeiYong</t>
  </si>
  <si>
    <t>财务费用</t>
  </si>
  <si>
    <t>CBGC_QJFY_XiaoShouFeiYong</t>
  </si>
  <si>
    <t>销售费用</t>
  </si>
  <si>
    <t>CBGC_QJFY_XiaoShouFeiYong_XSDLJXCTGF</t>
  </si>
  <si>
    <t>销售代理及宣传推广费用</t>
  </si>
  <si>
    <t>CBGC_QJFY_XiaoShouFeiYong_LSSLCJFCSYBJFY</t>
  </si>
  <si>
    <t>临时售楼处及非出售样板间费用</t>
  </si>
  <si>
    <t>CBGC_LiuZhuanShui</t>
  </si>
  <si>
    <t>流转税</t>
  </si>
  <si>
    <t>增值税及附加</t>
  </si>
  <si>
    <t>CBGC_LiuZhuanShui_ZengZhiShui</t>
  </si>
  <si>
    <t>CBGC_LiuZhuanShui_FuJiaShui</t>
  </si>
  <si>
    <t>附加（城建税、教育费附加、地方教附费附加）</t>
  </si>
  <si>
    <t>CBGC_QiTaShuiFei</t>
  </si>
  <si>
    <t>其他税费</t>
  </si>
  <si>
    <t>CBGC_QiTaShuiFei_TuDiShiYongShui</t>
  </si>
  <si>
    <t>土地使用税</t>
  </si>
  <si>
    <t>年度税率</t>
  </si>
  <si>
    <t>CBGC_QiTaShuiFei_YinHuaShui</t>
  </si>
  <si>
    <t>印花税</t>
  </si>
  <si>
    <t>CBGC_QiTaShuiFei_HuanBaoShui</t>
  </si>
  <si>
    <t>环保税</t>
  </si>
  <si>
    <t>月度税率</t>
  </si>
  <si>
    <t>CBGC_QiTaShuiFei_FangChanShui</t>
  </si>
  <si>
    <t>房产税</t>
  </si>
  <si>
    <t>CBGC_QiTaShuiFei_QiTa</t>
  </si>
  <si>
    <t>CBGC_TuDiZengZhiShui</t>
  </si>
  <si>
    <t>土增税</t>
  </si>
  <si>
    <t>五</t>
  </si>
  <si>
    <t>土地增值税</t>
  </si>
  <si>
    <t>CBGC_ZongTouZi</t>
  </si>
  <si>
    <t>总投资</t>
  </si>
  <si>
    <t>CBGC_ZongXiaoShouShouRu</t>
  </si>
  <si>
    <t>总销售收入</t>
  </si>
  <si>
    <t>CBGC_ShuiQianLiRun</t>
  </si>
  <si>
    <t>税前利润</t>
  </si>
  <si>
    <t>CBGC_SuoDeShui</t>
  </si>
  <si>
    <t>所得税</t>
  </si>
  <si>
    <t>六</t>
  </si>
  <si>
    <t>CBGC_ShuiHouLiRun</t>
  </si>
  <si>
    <t>税后利润</t>
  </si>
  <si>
    <t>CBGC_DaiKuanLiLv</t>
  </si>
  <si>
    <t>贷款利率：</t>
  </si>
  <si>
    <t>CBGC_GuDongJieKuanLiLv</t>
  </si>
  <si>
    <t>股东借款利率：</t>
  </si>
  <si>
    <t>CBGC_SuoDeShuiLv</t>
  </si>
  <si>
    <t>所得税率：</t>
  </si>
  <si>
    <t>CBGC_YingYeShuiShuiLv</t>
  </si>
  <si>
    <t>增值税预缴税率：</t>
  </si>
  <si>
    <t>CBGC_XianZhiXiShu</t>
  </si>
  <si>
    <t>现值系数  ic=</t>
  </si>
  <si>
    <t>CBGC_CWZB_TouZiMaoLiRunLv</t>
  </si>
  <si>
    <t>财务指标</t>
  </si>
  <si>
    <t>投资毛利润率：</t>
  </si>
  <si>
    <t>CBGC_CWZB_TouZiJingLiRunLv</t>
  </si>
  <si>
    <t>投资净利润率：</t>
  </si>
  <si>
    <t>CBGC_CWZB_XiaoShouMaoLiRunLv</t>
  </si>
  <si>
    <t>销售毛利润率：</t>
  </si>
  <si>
    <t>CBGC_CWZB_XiaoShouJingLiRunLv</t>
  </si>
  <si>
    <t>销售净利润率：</t>
  </si>
  <si>
    <t>CBGC_NeiBuShouYiLv</t>
  </si>
  <si>
    <t>内部收益率</t>
  </si>
  <si>
    <t xml:space="preserve">CBGC_GuDongNeiBuShouYiLv </t>
  </si>
  <si>
    <t>股东内部收益率</t>
  </si>
  <si>
    <t>备注：1.投资毛利润率=（总销售收入－项目土地费用及开发成本）/总投资</t>
  </si>
  <si>
    <t xml:space="preserve">    2.投资净利润率=税后利润/总投资</t>
  </si>
  <si>
    <t xml:space="preserve">    3.销售毛利润率=（总销售收入－项目土地费用及开发成本）/总销售收入</t>
  </si>
  <si>
    <t xml:space="preserve">    4.销售净利润率=税后利润/总销售收入</t>
  </si>
  <si>
    <t xml:space="preserve">    5.具体费用项目根据项目具体情况填报</t>
  </si>
  <si>
    <t xml:space="preserve">    6.住宅及公建按照类别、结构形式、高层、多层、小高层等性质，分类计算。</t>
  </si>
  <si>
    <t xml:space="preserve">    7.公式中有定义名称，请前往“公式”中的“名称管理器”中查看。</t>
  </si>
  <si>
    <t>项目售价变动敏感性分析</t>
  </si>
  <si>
    <t>粘贴</t>
  </si>
  <si>
    <t>盈亏平衡点</t>
  </si>
  <si>
    <t>基本方案</t>
  </si>
  <si>
    <t>销5%</t>
  </si>
  <si>
    <t>销净8%</t>
  </si>
  <si>
    <t>+15%</t>
  </si>
  <si>
    <t>整体住宅售价</t>
  </si>
  <si>
    <t>JCYS_ZongTouZi_BuHanShui</t>
  </si>
  <si>
    <t>项目不含税投资</t>
  </si>
  <si>
    <t>JCYS_ZongXiaoShouShouRu_BuHanShui</t>
  </si>
  <si>
    <t>项目不含税销售收入</t>
  </si>
  <si>
    <t>JCYS_ZongTouZi</t>
  </si>
  <si>
    <t>总含税投资</t>
  </si>
  <si>
    <t>JCYS_ZongXiaoShouShouRu</t>
  </si>
  <si>
    <t>含税销售收入</t>
  </si>
  <si>
    <t>JCYS_MaoLiRun_BuHanShui</t>
  </si>
  <si>
    <t>毛利润</t>
  </si>
  <si>
    <t>JCYS_ShuaiHouLiRun_BuHanShui</t>
  </si>
  <si>
    <t>净利润</t>
  </si>
  <si>
    <t>JCYS_TouZiJingLiRunLv_BuHanShui</t>
  </si>
  <si>
    <t>投资净利润率</t>
  </si>
  <si>
    <t>JCYS_XiaoShouJingLiRunLv_BuHanShui</t>
  </si>
  <si>
    <t>销售净利润率</t>
  </si>
  <si>
    <t>JCYS_QTZ_NeiBuShouYiLv</t>
  </si>
  <si>
    <t>ZJPH_GuDongNeiBuShouYiLv</t>
  </si>
  <si>
    <t>底价</t>
  </si>
  <si>
    <t>第1手</t>
  </si>
  <si>
    <t>第2手</t>
  </si>
  <si>
    <t>第3手</t>
  </si>
  <si>
    <t>第4手</t>
  </si>
  <si>
    <t>第5手</t>
  </si>
  <si>
    <t>第6手</t>
  </si>
  <si>
    <t>第7手</t>
  </si>
  <si>
    <t>第8手</t>
  </si>
  <si>
    <t>第9手</t>
  </si>
  <si>
    <t>第10手</t>
  </si>
  <si>
    <t>第11手</t>
  </si>
  <si>
    <t>楼面价</t>
  </si>
  <si>
    <t>溢价率</t>
  </si>
  <si>
    <t>地价</t>
  </si>
  <si>
    <t>车位销售率</t>
  </si>
  <si>
    <t>车位销个数</t>
  </si>
  <si>
    <t>土地增值税预测表</t>
  </si>
  <si>
    <t>单位：人民币万元、平方米</t>
  </si>
  <si>
    <t>项目总建筑面积</t>
  </si>
  <si>
    <t>项目总可售面积</t>
  </si>
  <si>
    <t>一、转让房地产收入总额（项目总收入）</t>
  </si>
  <si>
    <t>1、</t>
  </si>
  <si>
    <t>已到账销售收入（含预收收入）</t>
  </si>
  <si>
    <t>2、</t>
  </si>
  <si>
    <t>预计销售收入</t>
  </si>
  <si>
    <t>二、扣除项目金额合计</t>
  </si>
  <si>
    <t>1.取得项目土地使用权所支付的金额</t>
  </si>
  <si>
    <t>2.房地产项目开发总成本</t>
  </si>
  <si>
    <t>（1）</t>
  </si>
  <si>
    <t>已发生成本</t>
  </si>
  <si>
    <t>（2）</t>
  </si>
  <si>
    <t>预计成本</t>
  </si>
  <si>
    <t>3.房地产开发费用</t>
  </si>
  <si>
    <t>利息支出</t>
  </si>
  <si>
    <t>其他房地产开发费用</t>
  </si>
  <si>
    <t>4.与转让房地产有关的税金</t>
  </si>
  <si>
    <t>城市维护建设税</t>
  </si>
  <si>
    <t>教育费附加</t>
  </si>
  <si>
    <r>
      <rPr>
        <sz val="12"/>
        <rFont val="宋体"/>
        <family val="3"/>
        <charset val="134"/>
      </rPr>
      <t>5.财政部规定的加计20%扣除数</t>
    </r>
  </si>
  <si>
    <t>三、增值额</t>
  </si>
  <si>
    <r>
      <rPr>
        <sz val="12"/>
        <rFont val="宋体"/>
        <family val="3"/>
        <charset val="134"/>
      </rPr>
      <t>四、增值额与扣除项目金额之比（%）</t>
    </r>
  </si>
  <si>
    <t>五、适用税率（%）</t>
  </si>
  <si>
    <t>六、速算扣除系数（%）</t>
  </si>
  <si>
    <r>
      <rPr>
        <sz val="12"/>
        <rFont val="宋体"/>
        <family val="3"/>
        <charset val="134"/>
      </rPr>
      <t>九、应缴土地增值税税额</t>
    </r>
  </si>
  <si>
    <t>十、已缴（或预缴）土地增值税税额</t>
  </si>
  <si>
    <t>十二、应补（退）土地增值税税额</t>
  </si>
  <si>
    <t>十三、已到账销售收入应缴土增税税额</t>
  </si>
  <si>
    <t>十四、预计销售收入应缴土增税税额</t>
  </si>
  <si>
    <t>十五、单位销售面积应负担的土地增值税</t>
  </si>
  <si>
    <t>辅助计算利息支出的偿还贷款利息费</t>
  </si>
  <si>
    <r>
      <rPr>
        <sz val="10.5"/>
        <color theme="1"/>
        <rFont val="Calibri"/>
        <family val="2"/>
      </rPr>
      <t>1</t>
    </r>
    <r>
      <rPr>
        <sz val="10.5"/>
        <color theme="1"/>
        <rFont val="宋体"/>
        <family val="3"/>
        <charset val="134"/>
      </rPr>
      <t>、土增税测算应按照实际情况进行公式的调整；</t>
    </r>
  </si>
  <si>
    <r>
      <rPr>
        <sz val="10.5"/>
        <color theme="1"/>
        <rFont val="Calibri"/>
        <family val="2"/>
      </rPr>
      <t>2</t>
    </r>
    <r>
      <rPr>
        <sz val="10.5"/>
        <color theme="1"/>
        <rFont val="宋体"/>
        <family val="3"/>
        <charset val="134"/>
      </rPr>
      <t>、土增税采用三分法的地区，“非普通住宅面积”公式应调整设置为“</t>
    </r>
    <r>
      <rPr>
        <sz val="10.5"/>
        <color theme="1"/>
        <rFont val="Calibri"/>
        <family val="2"/>
      </rPr>
      <t>=</t>
    </r>
    <r>
      <rPr>
        <sz val="10.5"/>
        <color theme="1"/>
        <rFont val="宋体"/>
        <family val="3"/>
        <charset val="134"/>
      </rPr>
      <t>总面积</t>
    </r>
    <r>
      <rPr>
        <sz val="10.5"/>
        <color theme="1"/>
        <rFont val="Calibri"/>
        <family val="2"/>
      </rPr>
      <t>-</t>
    </r>
    <r>
      <rPr>
        <sz val="10.5"/>
        <color theme="1"/>
        <rFont val="宋体"/>
        <family val="3"/>
        <charset val="134"/>
      </rPr>
      <t>普通住宅面积</t>
    </r>
    <r>
      <rPr>
        <sz val="10.5"/>
        <color theme="1"/>
        <rFont val="Calibri"/>
        <family val="2"/>
      </rPr>
      <t>-</t>
    </r>
    <r>
      <rPr>
        <sz val="10.5"/>
        <color theme="1"/>
        <rFont val="宋体"/>
        <family val="3"/>
        <charset val="134"/>
      </rPr>
      <t>其他面积”；</t>
    </r>
  </si>
  <si>
    <r>
      <rPr>
        <sz val="10.5"/>
        <color theme="1"/>
        <rFont val="Calibri"/>
        <family val="2"/>
      </rPr>
      <t>3</t>
    </r>
    <r>
      <rPr>
        <sz val="10.5"/>
        <color theme="1"/>
        <rFont val="宋体"/>
        <family val="3"/>
        <charset val="134"/>
      </rPr>
      <t>、如土增税测算的实际情况非常复杂，可考虑使用</t>
    </r>
    <r>
      <rPr>
        <sz val="10.5"/>
        <color theme="1"/>
        <rFont val="Calibri"/>
        <family val="2"/>
      </rPr>
      <t>office</t>
    </r>
    <r>
      <rPr>
        <sz val="10.5"/>
        <color theme="1"/>
        <rFont val="宋体"/>
        <family val="3"/>
        <charset val="134"/>
      </rPr>
      <t>中“数据”列项下的“模拟预算表”功能进行各项敏感性分析、投标价分析和竞拍政策性用房分析。</t>
    </r>
  </si>
  <si>
    <t>分项名称</t>
  </si>
  <si>
    <t>各期计算公式（编号表示）</t>
  </si>
  <si>
    <t>JCYS_ZJCB</t>
  </si>
  <si>
    <t>直接开发成本合计</t>
  </si>
  <si>
    <t>JCYS_ZJCB_ChuTuDi</t>
  </si>
  <si>
    <t>直接开发成本(除土地)</t>
  </si>
  <si>
    <t>JCYS_ZJCB_TuDi</t>
  </si>
  <si>
    <t>JCYS_ZJCB_QianQi</t>
  </si>
  <si>
    <t>JCYS_ZJCB_JianAn</t>
  </si>
  <si>
    <t>JCYS_ZJCB_JiJian</t>
  </si>
  <si>
    <t>JCYS_ZJCB_GongJian</t>
  </si>
  <si>
    <t>JCYS_ZJCB_BuKeYuJian</t>
  </si>
  <si>
    <t>JCYS_ZJCB_KaiFaJianJie</t>
  </si>
  <si>
    <t>JCYS_ZJCB_QiTaFeiYong</t>
  </si>
  <si>
    <t>其他直接开发费用</t>
  </si>
  <si>
    <t>JCYS_QJFY</t>
  </si>
  <si>
    <t>期间费用合计</t>
  </si>
  <si>
    <t>JCYS_QJFY_GuanLi</t>
  </si>
  <si>
    <t>JCYS_QJFY_CaiWu</t>
  </si>
  <si>
    <t>JCYS_QJFY_XiaoShou</t>
  </si>
  <si>
    <t>JCYS_LiuZhuanShuai</t>
  </si>
  <si>
    <t>JCYS_QiTaShuiFei</t>
  </si>
  <si>
    <t>JCYS_TuZengShuai</t>
  </si>
  <si>
    <t>土地增值税（预提）</t>
  </si>
  <si>
    <t>JCYS_SuoDeShuai</t>
  </si>
  <si>
    <t>所得税（预提）</t>
  </si>
  <si>
    <t>JCYS_ZJYY</t>
  </si>
  <si>
    <t>资金运用合计(除财务费用)</t>
  </si>
  <si>
    <t>JCYS_ZJYY_BenQiQueKou</t>
  </si>
  <si>
    <t>本期资金缺口</t>
  </si>
  <si>
    <t>JCYS_ZJYY_GuDongJieKuanYuE</t>
  </si>
  <si>
    <t>股东借款余额</t>
  </si>
  <si>
    <t>JCYS_ZJYY_YinHangDaiKuanYuE</t>
  </si>
  <si>
    <t>银行贷款余额</t>
  </si>
  <si>
    <t>JCYS_ZJLY</t>
  </si>
  <si>
    <t>资金来源合计</t>
  </si>
  <si>
    <t>JCYS_ZJLY_ZiYouZiJin</t>
  </si>
  <si>
    <t>自有资金</t>
  </si>
  <si>
    <t>JCYS_ZJLY_GuDongJieKuan</t>
  </si>
  <si>
    <t>股东借款</t>
  </si>
  <si>
    <t>JCYS_ZJLY_QiTaLaiYuan</t>
  </si>
  <si>
    <t>其它来源</t>
  </si>
  <si>
    <t>JCYS_ZJLY_YinHangDaiKuan</t>
  </si>
  <si>
    <t>银行贷款</t>
  </si>
  <si>
    <t>JCYS_ZJLY_XiaoShouHuiKuan</t>
  </si>
  <si>
    <t>销售回款</t>
  </si>
  <si>
    <t>JCYS_YYZJ</t>
  </si>
  <si>
    <t>盈余资金合计</t>
  </si>
  <si>
    <t>JCYS_YYZJ_GHLX</t>
  </si>
  <si>
    <t>用于归还利息</t>
  </si>
  <si>
    <t>JCYS_YYZJ_GHLX_GuDongJieKuan</t>
  </si>
  <si>
    <t>用于归还股东借款利息</t>
  </si>
  <si>
    <t>JCYS_YYZJ_GHLX_DaiKuan</t>
  </si>
  <si>
    <t>用于归还贷款利息</t>
  </si>
  <si>
    <t>JCYS_YYZJ_GHLX_QiTaLaiYuan</t>
  </si>
  <si>
    <t>用于归还其它来源资金利息</t>
  </si>
  <si>
    <t>JCYS_YYZJ_GHBJ</t>
  </si>
  <si>
    <t>用于归还本金</t>
  </si>
  <si>
    <t>JCYS_YYZJ_GHBJ_GuDongJieKuan</t>
  </si>
  <si>
    <t>用于归还股东借款本金</t>
  </si>
  <si>
    <t>JCYS_YYZJ_GHBJ_DaiKuan</t>
  </si>
  <si>
    <t>用于归还贷款本金</t>
  </si>
  <si>
    <t>JCYS_YYZJ_GHBJ_QiTaLaiYuan</t>
  </si>
  <si>
    <t>用于归还其它来源本金</t>
  </si>
  <si>
    <t>JCYS_YinYuZiJin</t>
  </si>
  <si>
    <t>盈余资金余额</t>
  </si>
  <si>
    <t>JCYS_LeiJiYinYuZiJin</t>
  </si>
  <si>
    <t>累计盈余资金</t>
  </si>
  <si>
    <t>JCYS_QTZ_XianJinLiuLiang</t>
  </si>
  <si>
    <t>全投资现金流量：</t>
  </si>
  <si>
    <t>JCYS_QTZ_LeiJiXianJinLiuLiang</t>
  </si>
  <si>
    <t>全投资累计现金流量：</t>
  </si>
  <si>
    <t>JCYS_GQTZ_XianJinLiuLiang</t>
  </si>
  <si>
    <t>股权投资现金流量：</t>
  </si>
  <si>
    <t>JCYS_GQTZ_LeiJiXianJinLiuLiang</t>
  </si>
  <si>
    <t>股权投资累计现金流量：</t>
  </si>
  <si>
    <t>JCYS_ShuaiQianLiRun</t>
  </si>
  <si>
    <t>JCYS_ShuaiHouLiRun</t>
  </si>
  <si>
    <t>JCYS_TouZiMaoLiRunLv</t>
  </si>
  <si>
    <t>JCYS_TouZiJingLiRunLv</t>
  </si>
  <si>
    <t>JCYS_XiaoShouMaoLiRunLv</t>
  </si>
  <si>
    <t>JCYS_XiaoShouJingLiRunLv</t>
  </si>
  <si>
    <t>JCYS_YTBL_TuZengShuai</t>
  </si>
  <si>
    <t>土增税的预提比例</t>
  </si>
  <si>
    <t>JCYS_YTBL_SuoDeShuai</t>
  </si>
  <si>
    <t>所得税的预提比例</t>
  </si>
  <si>
    <t>JCYS_BL_BuKeYuJianFei</t>
  </si>
  <si>
    <t>不可预见费比例</t>
  </si>
  <si>
    <t>JCYS_BL_GuanLiFeiYong</t>
  </si>
  <si>
    <t>管理费用比例</t>
  </si>
  <si>
    <t>JCYS_DaiKuanLiLv</t>
  </si>
  <si>
    <t>贷款利率</t>
  </si>
  <si>
    <t>JCYS_GuDongJieKuanLiLv</t>
  </si>
  <si>
    <t>股东借款利率</t>
  </si>
  <si>
    <t>JCYS_BL_SuoDeShui</t>
  </si>
  <si>
    <t>所得税比率：</t>
  </si>
  <si>
    <t>不含税总投资</t>
  </si>
  <si>
    <t>不含税总销售收入</t>
  </si>
  <si>
    <t>不含税毛利润：</t>
  </si>
  <si>
    <t>不含税税后利润</t>
  </si>
  <si>
    <t>JCYS_TouZiMaoLiRunLv_BuHanShui</t>
  </si>
  <si>
    <t>不含税投资毛利润率：</t>
  </si>
  <si>
    <t>不含税投资净利润率：</t>
  </si>
  <si>
    <t>JCYS_XiaoShouMaoLiRunLv_BuHanShui</t>
  </si>
  <si>
    <t>不含税销售毛利润率：</t>
  </si>
  <si>
    <t>不含税销售净利润率：</t>
  </si>
  <si>
    <t>JCYS_XianZhiXiShu</t>
  </si>
  <si>
    <t>JCYS_QTZ_JingXianZhi</t>
  </si>
  <si>
    <t>全投资净现值：</t>
  </si>
  <si>
    <t>全投资内部收益率：</t>
  </si>
  <si>
    <t>JCYS_GQTZ_JingXianZhi</t>
  </si>
  <si>
    <t>股权投资净现值：</t>
  </si>
  <si>
    <t>JCYS_GQTZ_NeiBuShouYiLv</t>
  </si>
  <si>
    <t>股权投资内部收益率：</t>
  </si>
  <si>
    <t>JCYS_MaoLiRun</t>
  </si>
  <si>
    <t>毛利润：</t>
  </si>
  <si>
    <t>JCYS_NianDu</t>
  </si>
  <si>
    <t>年度</t>
  </si>
  <si>
    <t>JCYS_NDQTZ_XianJinLiuLiang</t>
  </si>
  <si>
    <t>年度全投资现金流量：</t>
  </si>
  <si>
    <t>JCYS_NDGQTZ_XianJinLiuLiang</t>
  </si>
  <si>
    <t>年度股权投资现金流量：</t>
  </si>
  <si>
    <t>现金流量表</t>
  </si>
  <si>
    <t>XJLL_ZJTR</t>
  </si>
  <si>
    <t>资金投入</t>
  </si>
  <si>
    <t>XJLL_ZJTR_KFJS</t>
  </si>
  <si>
    <t>开发建设投资</t>
  </si>
  <si>
    <t>XJLL_ZJTR_KFJS_TuDi</t>
  </si>
  <si>
    <t>土地费用</t>
  </si>
  <si>
    <t>XJLL_ZJTR_KFJS_QianQi</t>
  </si>
  <si>
    <t>XJLL_ZJTR_KFJS_JianAn</t>
  </si>
  <si>
    <t>建筑安装工程费</t>
  </si>
  <si>
    <t>XJLL_ZJTR_KFJS_JiJian</t>
  </si>
  <si>
    <t>XJLL_ZJTR_KFJS_GongJian</t>
  </si>
  <si>
    <t>配套设施建设费</t>
  </si>
  <si>
    <t>XJLL_ZJTR_BuKeYuJian</t>
  </si>
  <si>
    <t>XJLL_ZJTR_GuanLi</t>
  </si>
  <si>
    <t>XJLL_ZJTR_XiaoShou</t>
  </si>
  <si>
    <t>XJLL_ZJTR_LiuZhuanShui</t>
  </si>
  <si>
    <t>XJLL_ZJTR_TuZengShui</t>
  </si>
  <si>
    <t>土地增值税预提</t>
  </si>
  <si>
    <t>XJLL_ZJHS</t>
  </si>
  <si>
    <t>资金回收</t>
  </si>
  <si>
    <t>XJLL_ZJHS_XiaoShou</t>
  </si>
  <si>
    <t>XJLL_ZJHS_QiTa</t>
  </si>
  <si>
    <t>其他收入</t>
  </si>
  <si>
    <t>XJLL_ZJYY</t>
  </si>
  <si>
    <t>资金盈余</t>
  </si>
  <si>
    <t>XJLL_SuiDeShui</t>
  </si>
  <si>
    <t>所得税：</t>
  </si>
  <si>
    <t>XJLL_ZianZhiXiShu</t>
  </si>
  <si>
    <t>XJLL_QTZ_XJLL</t>
  </si>
  <si>
    <t>XJLL_QTZ_LeiJi_XJLL</t>
  </si>
  <si>
    <t>XJLL_QTZ_JingXianZhi</t>
  </si>
  <si>
    <t>XJLL_QTZ_NeiBuShouYiLv</t>
  </si>
  <si>
    <t>XJLL_QTZ_JingTaiTouZiHuiShouQi</t>
  </si>
  <si>
    <t>全投资静态投资回收期(年)</t>
  </si>
  <si>
    <t>XJLL_QTZ_DongTaiTouZiHuiShouQi</t>
  </si>
  <si>
    <t>全投资动态投资回收期(年)</t>
  </si>
  <si>
    <t>XJLL_FZ_XuHao</t>
  </si>
  <si>
    <t>XJLL_FZ_ZheXianHou_XJLL</t>
  </si>
  <si>
    <t>折现后的现金流:</t>
  </si>
  <si>
    <t>XJLL_FZ_ZheXianHou_LiJi_XJLL</t>
  </si>
  <si>
    <t>折现后的累计现金流:</t>
  </si>
  <si>
    <t>资金平衡表</t>
  </si>
  <si>
    <t>单位：万元</t>
  </si>
  <si>
    <t>ZJPH_ZiJinYunYong</t>
  </si>
  <si>
    <t>资金运用</t>
  </si>
  <si>
    <t>ZJPH_ZJYY_TuDiGouZhiFei</t>
  </si>
  <si>
    <t>土地购置费</t>
  </si>
  <si>
    <t>ZJPH_ZJYY_QianQiGongChengFei</t>
  </si>
  <si>
    <t>ZJPH_ZJYY_JianZhuAnZhuangFei</t>
  </si>
  <si>
    <t>ZJPH_ZJYY_JiChuSheShiFei</t>
  </si>
  <si>
    <t>ZJPH_ZJYY_GongGongPeiTao</t>
  </si>
  <si>
    <t>ZJPH_ZJYY_BuKeYuJianFei</t>
  </si>
  <si>
    <t>ZJPH_ZJYY_GuanLiFeiYong</t>
  </si>
  <si>
    <t>ZJPH_ZJYY_XiaoShouFeiYong</t>
  </si>
  <si>
    <t>ZJPH_ZJYY_GeXiangShuiFei</t>
  </si>
  <si>
    <t>各项税费</t>
  </si>
  <si>
    <t>ZJPH_ZJYY_ZengZhiShui</t>
  </si>
  <si>
    <t>1.9.1</t>
  </si>
  <si>
    <t>ZJPH_ZJYY_TuDiZengZhiShui</t>
  </si>
  <si>
    <t>1.9.2</t>
  </si>
  <si>
    <t>ZJPH_ZJYY_SuoDeShui</t>
  </si>
  <si>
    <t>1.9.3</t>
  </si>
  <si>
    <t>ZJPH_ZiJinLaiYuan</t>
  </si>
  <si>
    <t>资金来源</t>
  </si>
  <si>
    <t>ZJPH_ZJLY_ZiYou</t>
  </si>
  <si>
    <t>ZJPH_ZJLY_GuDongJieKuan</t>
  </si>
  <si>
    <t>ZJPH_ZJLY_YinHangJieKuan</t>
  </si>
  <si>
    <t>ZJPH_ZJLY_XiaoShouHuiKuan</t>
  </si>
  <si>
    <t>销售回款（除去预售资金监管金额）</t>
  </si>
  <si>
    <t>ZJPH_ZJLY_QiTaShouRu</t>
  </si>
  <si>
    <t>ZJPH_RongYuZiJin</t>
  </si>
  <si>
    <t>盈余资金</t>
  </si>
  <si>
    <t>ZJPH_RYZJ_GuiHuanLiXi</t>
  </si>
  <si>
    <t>ZJPH_RYZJ_GuDongJieKuan</t>
  </si>
  <si>
    <t>3.1.1</t>
  </si>
  <si>
    <t>ZJPH_RYZJ_DaiKuanLiXi</t>
  </si>
  <si>
    <t>3.1.2</t>
  </si>
  <si>
    <t>ZJPH_RYZJ_GuiHuanBenJin</t>
  </si>
  <si>
    <t>ZJPH_RYZJ_GuiHuanGuDongJieKuan</t>
  </si>
  <si>
    <t>3.2.1</t>
  </si>
  <si>
    <t>ZJPH_RYZJ_GuiHuanDaiKuan</t>
  </si>
  <si>
    <t>3.2.2</t>
  </si>
  <si>
    <t>ZJPH_YingYuZiJin</t>
  </si>
  <si>
    <t>ZJPH_LeiJiYingYuZiJin</t>
  </si>
  <si>
    <t>累计盈余资金（分配股东资金之前）</t>
  </si>
  <si>
    <t>ZJPH_YingYuZiJinFenPei</t>
  </si>
  <si>
    <t>盈余资金分配股东（项目公司盈余资金扣除3个月内的资金需求，其余上缴股东）</t>
  </si>
  <si>
    <t>ZJPH_GuDongXainJinLiuLiang</t>
  </si>
  <si>
    <t>股东现金流量</t>
  </si>
  <si>
    <t>ZJPH_LeiJiFenPeiYingYu</t>
  </si>
  <si>
    <t>累计分配股东盈余资金</t>
  </si>
  <si>
    <t>ZJPH_HuoBiZiJin</t>
  </si>
  <si>
    <t>项目公司货币资金余额</t>
  </si>
  <si>
    <t>资本金：</t>
  </si>
  <si>
    <t>ZJPH_GuQuanTouZiXianJin</t>
  </si>
  <si>
    <t>ZJPH_GuQuanTouZiLeiJiXianJin</t>
  </si>
  <si>
    <t>ZJPH_GQTZ_JingXianZhi</t>
  </si>
  <si>
    <t>ZJPH_GQTZ_NeiBuShouYiLv</t>
  </si>
  <si>
    <t>ZJPH_GDJK_HuanQingShiJian</t>
  </si>
  <si>
    <t>股东借款还清时间(季度):</t>
  </si>
  <si>
    <t>ZJPH_FZ_JiDuShu</t>
  </si>
  <si>
    <t>季度序号</t>
  </si>
  <si>
    <t>股东内部收益率的测算逻辑：</t>
  </si>
  <si>
    <t>1、股东投入全部算股东借款，无自有资金</t>
  </si>
  <si>
    <t>2、股东资金回收，首先收回投入及相应利息。在前期考虑归还股东投入时，应考虑项目公司扣除预售监管资金后的可用资金，考虑开发贷的可用性。</t>
  </si>
  <si>
    <t>3、项目公司盈余资金在满足3个月基本需求的情况下，优先分配股东，待项目公司需要时，股东再及时归还。</t>
  </si>
  <si>
    <t>4、项目公司在项目周期最后时点的累计盈余资金（考虑了所有成本、税金的结算和退回等）=项目公司的净利润，全部归属于股东。因此，C33=C32=C31</t>
  </si>
  <si>
    <t>5、理论上，股东累计现金流（C34）=股东利息C26+项目公司净利润C31</t>
  </si>
  <si>
    <t>6、股东现金流量34行=  归还股东本金29行+归还股东利息26行-股东借款20行（含自有资金）+股东分配盈余资金33行</t>
  </si>
  <si>
    <t>7、使用股东现金流量计算出 的内部收益率为股东内部收益率，能更准确的反映股东资金的内部收益率</t>
  </si>
  <si>
    <t>8、项目公司在分配股东资金后，期末累计盈余资金=0</t>
  </si>
  <si>
    <t>9、预售资金监管余额请结合各地监管政策，准确填写各节点的监管余额，该资金原则上不可使用。</t>
  </si>
  <si>
    <t>银行贷款及股东借款偿还表</t>
  </si>
  <si>
    <t>期初贷款余额</t>
  </si>
  <si>
    <t>期初股东借款余额</t>
  </si>
  <si>
    <t>期初银行贷款余额</t>
  </si>
  <si>
    <t>当期新增贷款</t>
  </si>
  <si>
    <t>当期新增股东借款</t>
  </si>
  <si>
    <t>当期新增银行贷款</t>
  </si>
  <si>
    <t>当期偿还贷款本金</t>
  </si>
  <si>
    <t>当期偿还股东借款本金</t>
  </si>
  <si>
    <t>当期偿还银行贷款本金</t>
  </si>
  <si>
    <t>期末贷款余额</t>
  </si>
  <si>
    <t>期末股东借款余额</t>
  </si>
  <si>
    <t>期末银行贷款余额</t>
  </si>
  <si>
    <t>当期应付贷款利息</t>
  </si>
  <si>
    <t>当期应付股东借款利息</t>
  </si>
  <si>
    <t>当期应付银行贷款利息</t>
  </si>
  <si>
    <t>利润表</t>
  </si>
  <si>
    <t>总计</t>
  </si>
  <si>
    <t>当期结利面积(平方米)</t>
  </si>
  <si>
    <t>当期销售均价(元/平方米)</t>
  </si>
  <si>
    <t xml:space="preserve">   其中：车位销售均价(元/平方米)</t>
  </si>
  <si>
    <t>可售单方成本(元/平方米)</t>
  </si>
  <si>
    <t>一、营业收入</t>
  </si>
  <si>
    <t>减：营业成本</t>
  </si>
  <si>
    <t xml:space="preserve">      其中：资本化利息</t>
  </si>
  <si>
    <t xml:space="preserve">   税金及附加</t>
  </si>
  <si>
    <t xml:space="preserve">   销售费用</t>
  </si>
  <si>
    <t xml:space="preserve">   管理费用</t>
  </si>
  <si>
    <t xml:space="preserve">   财务费用(不可进行资本化的利息)</t>
  </si>
  <si>
    <t>二、利润总额</t>
  </si>
  <si>
    <t>减：所得税费用</t>
  </si>
  <si>
    <t>三、净利润</t>
  </si>
  <si>
    <t>四、归属于母公司所有者的净利润</t>
  </si>
  <si>
    <t>FZ_CaiWuFei_NianDuZongE</t>
  </si>
  <si>
    <t>每年缴的财务费用</t>
  </si>
  <si>
    <t>FZ_ZengBenHuaLiXi_QuanBuZongHe</t>
  </si>
  <si>
    <t>资本化利息全部总和</t>
  </si>
  <si>
    <t>FZ_ZengBenHuaLiXi_DangQi</t>
  </si>
  <si>
    <t>资本化利息当期</t>
  </si>
  <si>
    <t>FZ_SuoDeShui_QuanBu</t>
  </si>
  <si>
    <t>结利利润对应所得税</t>
  </si>
  <si>
    <t>FZ_SuoDeShui_JiaoZheng</t>
  </si>
  <si>
    <t>所得税矫正</t>
  </si>
  <si>
    <t>FZ_YingYeChengBen_DangQiJieLi</t>
  </si>
  <si>
    <t>当期结利的营业成本</t>
  </si>
  <si>
    <t>FZ_YingYeChengBen_JiaoZheng</t>
  </si>
  <si>
    <t>营业成本矫正-非可售业态成本</t>
  </si>
  <si>
    <t>FZ_YTLX_LX:一期住宅普宅_JLMJ</t>
  </si>
  <si>
    <t>一期住宅普宅的结利面积</t>
  </si>
  <si>
    <t>FZ_YTLX_LX:一期住宅非普宅_JLMJ</t>
  </si>
  <si>
    <t>一期住宅非普宅的结利面积</t>
  </si>
  <si>
    <t>FZ_YTLX_LX:一期地下车库_JLMJ</t>
  </si>
  <si>
    <t>一期地下车库的结利面积</t>
  </si>
  <si>
    <t>FZ_YTLX_LX:一期地下仓储_JLMJ</t>
  </si>
  <si>
    <t>一期地下仓储的结利面积</t>
  </si>
  <si>
    <t>FZ_YTLX_LX:一期地下设备用房_JLMJ</t>
  </si>
  <si>
    <t>一期地下设备用房的结利面积</t>
  </si>
  <si>
    <t>FZ_YTLX_LX:一期地下地下商业_JLMJ</t>
  </si>
  <si>
    <t>一期地下地下商业的结利面积</t>
  </si>
  <si>
    <t>FZ_YTLX_LX:一期住宅普宅_YYSR</t>
  </si>
  <si>
    <t>一期住宅普宅的营业收入</t>
  </si>
  <si>
    <t>FZ_YTLX_LX:一期住宅非普宅_YYSR</t>
  </si>
  <si>
    <t>一期住宅非普宅的营业收入</t>
  </si>
  <si>
    <t>FZ_YTLX_LX:一期地下车库_YYSR</t>
  </si>
  <si>
    <t>一期地下车库的营业收入</t>
  </si>
  <si>
    <t>FZ_YTLX_LX:一期地下仓储_YYSR</t>
  </si>
  <si>
    <t>一期地下仓储的营业收入</t>
  </si>
  <si>
    <t>FZ_YTLX_LX:一期地下设备用房_YYSR</t>
  </si>
  <si>
    <t>一期地下设备用房的营业收入</t>
  </si>
  <si>
    <t>FZ_YTLX_LX:一期地下地下商业_YYSR</t>
  </si>
  <si>
    <t>一期地下地下商业的营业收入</t>
  </si>
  <si>
    <t>FZ_YTLX_LX:一期住宅普宅_YYCB</t>
  </si>
  <si>
    <t>一期住宅普宅的营业成本</t>
  </si>
  <si>
    <t>FZ_YTLX_LX:一期住宅非普宅_YYCB</t>
  </si>
  <si>
    <t>一期住宅非普宅的营业成本</t>
  </si>
  <si>
    <t>FZ_YTLX_LX:一期地下车库_YYCB</t>
  </si>
  <si>
    <t>一期地下车库的营业成本</t>
  </si>
  <si>
    <t>FZ_YTLX_LX:一期地下仓储_YYCB</t>
  </si>
  <si>
    <t>一期地下仓储的营业成本</t>
  </si>
  <si>
    <t>FZ_YTLX_LX:一期地下设备用房_YYCB</t>
  </si>
  <si>
    <t>一期地下设备用房的营业成本</t>
  </si>
  <si>
    <t>FZ_YTLX_LX:一期地下地下商业_YYCB</t>
  </si>
  <si>
    <t>一期地下地下商业的营业成本</t>
  </si>
  <si>
    <t>FZ_JiChu_DFCB</t>
  </si>
  <si>
    <t>基础单方成本</t>
  </si>
  <si>
    <t>FZ_DiShangTuDi_DFCB</t>
  </si>
  <si>
    <t>地上类型单方土地成本</t>
  </si>
  <si>
    <t>FZ_DiXiaTuDi_DFCB</t>
  </si>
  <si>
    <t>地下类型单方土地成本</t>
  </si>
  <si>
    <t>FZ_YTLX_LX:一期住宅普宅_DFCB</t>
  </si>
  <si>
    <t>一期住宅普宅的单方建安成本</t>
  </si>
  <si>
    <t>FZ_YTLX_LX:一期住宅非普宅_DFCB</t>
  </si>
  <si>
    <t>一期住宅非普宅的单方建安成本</t>
  </si>
  <si>
    <t>FZ_YTLX_LX:一期地下车库_DFCB</t>
  </si>
  <si>
    <t>一期地下车库的单方建安成本</t>
  </si>
  <si>
    <t>FZ_YTLX_LX:一期地下仓储_DFCB</t>
  </si>
  <si>
    <t>一期地下仓储的单方建安成本</t>
  </si>
  <si>
    <t>FZ_YTLX_LX:一期地下设备用房_DFCB</t>
  </si>
  <si>
    <t>一期地下设备用房的单方建安成本</t>
  </si>
  <si>
    <t>FZ_YTLX_LX:一期地下地下商业_DFCB</t>
  </si>
  <si>
    <t>一期地下地下商业的单方建安成本</t>
  </si>
  <si>
    <t>FZ_CHEKU_DanGeMianJi</t>
  </si>
  <si>
    <t>单个车库分摊的营业面积</t>
  </si>
  <si>
    <t>FZ_CHEKU_JLGS</t>
  </si>
  <si>
    <t>车库结利个数</t>
  </si>
  <si>
    <t>FZ_CHEKU_JLYS</t>
  </si>
  <si>
    <t>车库结利营收</t>
  </si>
  <si>
    <t>FZ_CHEKU_JianAnChengBen</t>
  </si>
  <si>
    <t>车库单方纯建安成本</t>
  </si>
  <si>
    <t>FZ_CHEKU_DanFang_YingYeChengBen</t>
  </si>
  <si>
    <t>车库单方营业成本</t>
  </si>
  <si>
    <t>FZ_CHEKU_DanFang_ShouJia</t>
  </si>
  <si>
    <t>车库单方售价</t>
  </si>
  <si>
    <t>FZ_CHEKU_DanFang_TiaoZheng</t>
  </si>
  <si>
    <t>车库单方成本调整</t>
  </si>
  <si>
    <t>FZ_DISHANG_DanFang_TiaoZheng</t>
  </si>
  <si>
    <t>地上业态单方成本调整</t>
  </si>
  <si>
    <t>FZ_CHEKU_WeiShouCheWeiJianAnChengBen</t>
  </si>
  <si>
    <t>未售车位建安成本</t>
  </si>
  <si>
    <t>备注：此表为与财务报表统一，将土增税包含在营业税金及附加中，不含增值税，含土增税、城建税和教育费附加。</t>
  </si>
  <si>
    <t>项目成本变动敏感性分析</t>
  </si>
  <si>
    <t>+5%</t>
  </si>
  <si>
    <t>+10%</t>
  </si>
  <si>
    <t>项目销售率变动敏感性分析</t>
  </si>
  <si>
    <t>整体住宅销售率</t>
  </si>
  <si>
    <t>投标价分析</t>
  </si>
  <si>
    <t>加价阶梯（万元）</t>
  </si>
  <si>
    <t>投标底价 (万元)</t>
  </si>
  <si>
    <t>LouMianDiJia</t>
  </si>
  <si>
    <t>ShangPinFangDiJia</t>
  </si>
  <si>
    <t>YiJiaBiLi</t>
  </si>
  <si>
    <t>投标价（万元）</t>
  </si>
  <si>
    <t>楼面地价(元/平方米）</t>
  </si>
  <si>
    <t>商品房楼面地价(元/平方米)</t>
  </si>
  <si>
    <t>溢价比例（投标价/底价-1）</t>
  </si>
  <si>
    <t>总不含税投资（万元）</t>
  </si>
  <si>
    <t>总不含税收入（万元）</t>
  </si>
  <si>
    <t>总含税投资（万元）</t>
  </si>
  <si>
    <t>总含税收入（万元）</t>
  </si>
  <si>
    <t>毛利润（万元）</t>
  </si>
  <si>
    <t>净利润（万元）</t>
  </si>
  <si>
    <t>投资毛利率</t>
  </si>
  <si>
    <t>投资净利率</t>
  </si>
  <si>
    <t>销售毛利率</t>
  </si>
  <si>
    <t>净现值NPV(万元）</t>
  </si>
  <si>
    <t>投标价倒算分析</t>
  </si>
  <si>
    <t>单位：万元，元/平方米</t>
  </si>
  <si>
    <t>销售净利率</t>
  </si>
  <si>
    <t>可承受最高投标价</t>
  </si>
  <si>
    <t>可承受最高楼面地价</t>
  </si>
  <si>
    <t>竞拍政策性用房分析</t>
  </si>
  <si>
    <t>地价上限（万元）</t>
  </si>
  <si>
    <t>相应减少面积的产品类型</t>
  </si>
  <si>
    <t>不用从其他类型减去</t>
  </si>
  <si>
    <t>竞拍政策性用房面积增加阶梯    （平米）</t>
  </si>
  <si>
    <t>竞拍政策性用房售价 (元/平米)</t>
  </si>
  <si>
    <t>竞拍政策性用房建安费(元/平米)</t>
  </si>
  <si>
    <t>竞拍政策性用房销售费用比例</t>
  </si>
  <si>
    <t>竞拍政策房面积(平米）</t>
  </si>
  <si>
    <t>不含税总投资（万元）</t>
  </si>
  <si>
    <t>不含税总收入（万元）</t>
  </si>
  <si>
    <t>总投资（万元）</t>
  </si>
  <si>
    <t>总收入（万元）</t>
  </si>
  <si>
    <t>以往同区域同类型项目中标分析</t>
  </si>
  <si>
    <t>中标方</t>
  </si>
  <si>
    <t>土地面积</t>
  </si>
  <si>
    <t>建设规模</t>
  </si>
  <si>
    <t xml:space="preserve">底价 </t>
  </si>
  <si>
    <t xml:space="preserve">中标价 </t>
  </si>
  <si>
    <t>中标楼面地价</t>
  </si>
  <si>
    <t xml:space="preserve"> 中标溢价率</t>
  </si>
  <si>
    <t>XX</t>
  </si>
  <si>
    <t>项目建设标准调研记录</t>
  </si>
  <si>
    <t>基本信息</t>
  </si>
  <si>
    <t>项目位置</t>
  </si>
  <si>
    <t>项目定位</t>
  </si>
  <si>
    <t>层数</t>
  </si>
  <si>
    <t>层高</t>
  </si>
  <si>
    <t>销售信息</t>
  </si>
  <si>
    <t>平均户型面积</t>
  </si>
  <si>
    <t>开盘价</t>
  </si>
  <si>
    <t>均价</t>
  </si>
  <si>
    <t>目前售价</t>
  </si>
  <si>
    <t>物业费</t>
  </si>
  <si>
    <t>以上项目仅为举例,实际表格按调研项目具体情况进行增减\填报</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</si>
</sst>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 #,##0_ ;_ * \-#,##0_ ;_ * &quot;-&quot;_ ;_ @_ "/>
    <numFmt numFmtId="43" formatCode="_ * #,##0.00_ ;_ * \-#,##0.00_ ;_ * &quot;-&quot;??_ ;_ @_ "/>
    <numFmt numFmtId="176" formatCode="0.00_);\(0.00\)"/>
    <numFmt numFmtId="177" formatCode="0_);\(0\)"/>
    <numFmt numFmtId="178" formatCode="0_);[Red]\(0\)"/>
    <numFmt numFmtId="179" formatCode="0.00;[Red]0.00"/>
    <numFmt numFmtId="180" formatCode="_ \¥* #,##0.00_ ;_ \¥* \-#,##0.00_ ;_ \¥* &quot;-&quot;??_ ;_ @_ "/>
    <numFmt numFmtId="181" formatCode="0.0000_ "/>
    <numFmt numFmtId="182" formatCode="0_ "/>
    <numFmt numFmtId="183" formatCode="0.00_);[Red]\(0.00\)"/>
    <numFmt numFmtId="184" formatCode="0.00_ "/>
    <numFmt numFmtId="185" formatCode="#,##0.00_ "/>
    <numFmt numFmtId="186" formatCode="#,##0_ "/>
    <numFmt numFmtId="187" formatCode="0.0%"/>
    <numFmt numFmtId="188" formatCode="m&quot;月&quot;d&quot;日&quot;;@"/>
    <numFmt numFmtId="189" formatCode="0;[Red]0"/>
    <numFmt numFmtId="190" formatCode="0.000_ "/>
    <numFmt numFmtId="191" formatCode="0.0_ "/>
  </numFmts>
  <fonts count="44">
    <font>
      <sz val="11"/>
      <color theme="1"/>
      <name val="宋体"/>
      <charset val="134"/>
      <scheme val="minor"/>
    </font>
    <font>
      <b/>
      <sz val="26"/>
      <name val="宋体"/>
      <family val="3"/>
      <charset val="134"/>
    </font>
    <font>
      <b/>
      <sz val="12"/>
      <name val="仿宋"/>
      <family val="3"/>
      <charset val="134"/>
    </font>
    <font>
      <sz val="12"/>
      <name val="仿宋"/>
      <family val="3"/>
      <charset val="134"/>
    </font>
    <font>
      <sz val="26"/>
      <color theme="1"/>
      <name val="宋体"/>
      <family val="3"/>
      <charset val="134"/>
      <scheme val="minor"/>
    </font>
    <font>
      <sz val="12"/>
      <name val="宋体"/>
      <family val="3"/>
      <charset val="134"/>
    </font>
    <font>
      <b/>
      <sz val="12"/>
      <color theme="4"/>
      <name val="宋体"/>
      <family val="3"/>
      <charset val="134"/>
    </font>
    <font>
      <sz val="12"/>
      <color theme="4"/>
      <name val="宋体"/>
      <family val="3"/>
      <charset val="134"/>
    </font>
    <font>
      <b/>
      <sz val="14"/>
      <name val="宋体"/>
      <family val="3"/>
      <charset val="134"/>
    </font>
    <font>
      <sz val="11"/>
      <name val="宋体"/>
      <family val="3"/>
      <charset val="134"/>
    </font>
    <font>
      <sz val="11"/>
      <name val="Times New Roman"/>
      <family val="1"/>
    </font>
    <font>
      <b/>
      <sz val="22"/>
      <name val="宋体"/>
      <family val="3"/>
      <charset val="134"/>
    </font>
    <font>
      <b/>
      <sz val="14"/>
      <color theme="1"/>
      <name val="宋体"/>
      <family val="3"/>
      <charset val="134"/>
      <scheme val="minor"/>
    </font>
    <font>
      <b/>
      <sz val="11"/>
      <name val="宋体"/>
      <family val="3"/>
      <charset val="134"/>
    </font>
    <font>
      <sz val="11"/>
      <name val="Arial Narrow"/>
      <family val="2"/>
    </font>
    <font>
      <b/>
      <sz val="12"/>
      <color theme="3" tint="0.39994506668294322"/>
      <name val="宋体"/>
      <family val="3"/>
      <charset val="134"/>
    </font>
    <font>
      <b/>
      <sz val="12"/>
      <name val="宋体"/>
      <family val="3"/>
      <charset val="134"/>
    </font>
    <font>
      <b/>
      <sz val="11"/>
      <color theme="1"/>
      <name val="宋体"/>
      <family val="3"/>
      <charset val="134"/>
      <scheme val="minor"/>
    </font>
    <font>
      <b/>
      <sz val="11"/>
      <color indexed="8"/>
      <name val="宋体"/>
      <family val="3"/>
      <charset val="134"/>
    </font>
    <font>
      <sz val="11"/>
      <color indexed="8"/>
      <name val="宋体"/>
      <family val="3"/>
      <charset val="134"/>
    </font>
    <font>
      <sz val="10"/>
      <name val="宋体"/>
      <family val="3"/>
      <charset val="134"/>
    </font>
    <font>
      <sz val="11"/>
      <color rgb="FFFF0000"/>
      <name val="宋体"/>
      <family val="3"/>
      <charset val="134"/>
      <scheme val="minor"/>
    </font>
    <font>
      <b/>
      <sz val="9"/>
      <name val="宋体"/>
      <family val="3"/>
      <charset val="134"/>
    </font>
    <font>
      <b/>
      <sz val="10"/>
      <name val="宋体"/>
      <family val="3"/>
      <charset val="134"/>
    </font>
    <font>
      <b/>
      <sz val="10"/>
      <color theme="1"/>
      <name val="宋体"/>
      <family val="3"/>
      <charset val="134"/>
      <scheme val="minor"/>
    </font>
    <font>
      <sz val="10.5"/>
      <color theme="1"/>
      <name val="Calibri"/>
      <family val="2"/>
    </font>
    <font>
      <b/>
      <sz val="26"/>
      <color theme="1"/>
      <name val="宋体"/>
      <family val="3"/>
      <charset val="134"/>
      <scheme val="minor"/>
    </font>
    <font>
      <b/>
      <sz val="11"/>
      <name val="微软雅黑"/>
      <family val="2"/>
      <charset val="134"/>
    </font>
    <font>
      <sz val="11"/>
      <color theme="1"/>
      <name val="微软雅黑"/>
      <family val="2"/>
      <charset val="134"/>
    </font>
    <font>
      <sz val="11"/>
      <color theme="1"/>
      <name val="宋体"/>
      <family val="3"/>
      <charset val="134"/>
    </font>
    <font>
      <sz val="11"/>
      <name val="微软雅黑"/>
      <family val="2"/>
      <charset val="134"/>
    </font>
    <font>
      <sz val="10"/>
      <color theme="1"/>
      <name val="宋体"/>
      <family val="3"/>
      <charset val="134"/>
      <scheme val="minor"/>
    </font>
    <font>
      <sz val="11"/>
      <color indexed="8"/>
      <name val="微软雅黑"/>
      <family val="2"/>
      <charset val="134"/>
    </font>
    <font>
      <b/>
      <sz val="18"/>
      <color theme="1"/>
      <name val="宋体"/>
      <family val="3"/>
      <charset val="134"/>
      <scheme val="minor"/>
    </font>
    <font>
      <sz val="11"/>
      <name val="宋体"/>
      <family val="3"/>
      <charset val="134"/>
      <scheme val="minor"/>
    </font>
    <font>
      <sz val="14"/>
      <name val="宋体"/>
      <family val="3"/>
      <charset val="134"/>
    </font>
    <font>
      <b/>
      <sz val="9"/>
      <name val="宋体  "/>
      <charset val="134"/>
    </font>
    <font>
      <sz val="9"/>
      <name val="宋体  "/>
      <charset val="134"/>
    </font>
    <font>
      <sz val="10"/>
      <name val="Geneva"/>
      <family val="2"/>
    </font>
    <font>
      <sz val="12"/>
      <name val="Times New Roman"/>
      <family val="1"/>
    </font>
    <font>
      <sz val="10"/>
      <name val="Arial"/>
      <family val="2"/>
    </font>
    <font>
      <sz val="10.5"/>
      <color theme="1"/>
      <name val="宋体"/>
      <family val="3"/>
      <charset val="134"/>
    </font>
    <font>
      <sz val="11"/>
      <color theme="1"/>
      <name val="宋体"/>
      <family val="3"/>
      <charset val="134"/>
      <scheme val="minor"/>
    </font>
    <font>
      <sz val="9"/>
      <name val="宋体"/>
      <family val="3"/>
      <charset val="134"/>
      <scheme val="minor"/>
    </font>
  </fonts>
  <fills count="28">
    <fill>
      <patternFill patternType="none"/>
    </fill>
    <fill>
      <patternFill patternType="gray125"/>
    </fill>
    <fill>
      <patternFill patternType="solid">
        <fgColor theme="6" tint="0.39994506668294322"/>
        <bgColor indexed="64"/>
      </patternFill>
    </fill>
    <fill>
      <patternFill patternType="solid">
        <fgColor theme="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DBE5F1"/>
        <bgColor indexed="64"/>
      </patternFill>
    </fill>
    <fill>
      <patternFill patternType="solid">
        <fgColor rgb="FFC4D79B"/>
        <bgColor indexed="64"/>
      </patternFill>
    </fill>
    <fill>
      <patternFill patternType="solid">
        <fgColor rgb="FFB8CCE4"/>
        <bgColor indexed="64"/>
      </patternFill>
    </fill>
    <fill>
      <patternFill patternType="solid">
        <fgColor indexed="9"/>
        <bgColor indexed="64"/>
      </patternFill>
    </fill>
    <fill>
      <patternFill patternType="solid">
        <fgColor rgb="FFF5F5F5"/>
        <bgColor indexed="64"/>
      </patternFill>
    </fill>
    <fill>
      <patternFill patternType="solid">
        <fgColor rgb="FFFFFFFF"/>
        <bgColor indexed="64"/>
      </patternFill>
    </fill>
    <fill>
      <patternFill patternType="solid">
        <fgColor theme="9" tint="0.79995117038483843"/>
        <bgColor indexed="64"/>
      </patternFill>
    </fill>
    <fill>
      <patternFill patternType="solid">
        <fgColor rgb="FFFDE9D9"/>
        <bgColor indexed="64"/>
      </patternFill>
    </fill>
    <fill>
      <patternFill patternType="solid">
        <fgColor theme="2" tint="-9.9978637043366805E-2"/>
        <bgColor indexed="64"/>
      </patternFill>
    </fill>
    <fill>
      <patternFill patternType="solid">
        <fgColor indexed="43"/>
        <bgColor indexed="64"/>
      </patternFill>
    </fill>
    <fill>
      <patternFill patternType="solid">
        <fgColor theme="6" tint="0.599963377788628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39994506668294322"/>
        <bgColor indexed="64"/>
      </patternFill>
    </fill>
    <fill>
      <patternFill patternType="solid">
        <fgColor rgb="FFFABF8F"/>
        <bgColor indexed="64"/>
      </patternFill>
    </fill>
    <fill>
      <patternFill patternType="solid">
        <fgColor theme="7" tint="0.59999389629810485"/>
        <bgColor indexed="64"/>
      </patternFill>
    </fill>
    <fill>
      <patternFill patternType="solid">
        <fgColor rgb="FFD8E4BC"/>
        <bgColor indexed="64"/>
      </patternFill>
    </fill>
    <fill>
      <patternFill patternType="solid">
        <fgColor rgb="FFFFA500"/>
        <bgColor indexed="64"/>
      </patternFill>
    </fill>
    <fill>
      <patternFill patternType="solid">
        <fgColor rgb="FF16A8B6"/>
        <bgColor indexed="64"/>
      </patternFill>
    </fill>
    <fill>
      <patternFill patternType="solid">
        <fgColor rgb="FFF2F2F2"/>
        <bgColor indexed="64"/>
      </patternFill>
    </fill>
    <fill>
      <patternFill patternType="solid">
        <fgColor rgb="FFCCC0DA"/>
        <bgColor indexed="64"/>
      </patternFill>
    </fill>
    <fill>
      <patternFill patternType="solid">
        <fgColor rgb="FFB7DEE8"/>
        <bgColor indexed="64"/>
      </patternFill>
    </fill>
  </fills>
  <borders count="6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medium">
        <color theme="9" tint="0.59996337778862885"/>
      </left>
      <right style="thin">
        <color theme="9" tint="0.59996337778862885"/>
      </right>
      <top style="medium">
        <color theme="9" tint="0.59996337778862885"/>
      </top>
      <bottom/>
      <diagonal/>
    </border>
    <border>
      <left style="thin">
        <color theme="9" tint="0.59996337778862885"/>
      </left>
      <right style="thin">
        <color theme="9" tint="0.59996337778862885"/>
      </right>
      <top style="medium">
        <color theme="9" tint="0.59996337778862885"/>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theme="9" tint="0.59996337778862885"/>
      </left>
      <right style="medium">
        <color theme="9" tint="0.59996337778862885"/>
      </right>
      <top style="medium">
        <color theme="9" tint="0.59996337778862885"/>
      </top>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theme="9" tint="0.39991454817346722"/>
      </left>
      <right style="thin">
        <color theme="9" tint="0.39991454817346722"/>
      </right>
      <top style="medium">
        <color theme="9" tint="0.39991454817346722"/>
      </top>
      <bottom/>
      <diagonal/>
    </border>
    <border>
      <left style="thin">
        <color theme="9" tint="0.39991454817346722"/>
      </left>
      <right style="thin">
        <color theme="9" tint="0.39991454817346722"/>
      </right>
      <top style="medium">
        <color theme="9" tint="0.39991454817346722"/>
      </top>
      <bottom/>
      <diagonal/>
    </border>
    <border>
      <left style="thin">
        <color theme="9" tint="0.39991454817346722"/>
      </left>
      <right style="medium">
        <color theme="9" tint="0.39991454817346722"/>
      </right>
      <top style="medium">
        <color theme="9" tint="0.39991454817346722"/>
      </top>
      <bottom/>
      <diagonal/>
    </border>
    <border>
      <left style="medium">
        <color auto="1"/>
      </left>
      <right/>
      <top style="medium">
        <color auto="1"/>
      </top>
      <bottom/>
      <diagonal/>
    </border>
    <border>
      <left/>
      <right/>
      <top style="medium">
        <color auto="1"/>
      </top>
      <bottom style="thin">
        <color auto="1"/>
      </bottom>
      <diagonal/>
    </border>
    <border>
      <left style="medium">
        <color auto="1"/>
      </left>
      <right/>
      <top/>
      <bottom style="medium">
        <color auto="1"/>
      </bottom>
      <diagonal/>
    </border>
    <border>
      <left style="medium">
        <color auto="1"/>
      </left>
      <right/>
      <top/>
      <bottom/>
      <diagonal/>
    </border>
    <border>
      <left style="medium">
        <color auto="1"/>
      </left>
      <right style="medium">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top style="medium">
        <color auto="1"/>
      </top>
      <bottom/>
      <diagonal/>
    </border>
    <border>
      <left style="thin">
        <color auto="1"/>
      </left>
      <right/>
      <top/>
      <bottom style="medium">
        <color auto="1"/>
      </bottom>
      <diagonal/>
    </border>
    <border>
      <left/>
      <right style="medium">
        <color auto="1"/>
      </right>
      <top style="thin">
        <color auto="1"/>
      </top>
      <bottom style="medium">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s>
  <cellStyleXfs count="106">
    <xf numFmtId="0" fontId="0" fillId="0" borderId="0">
      <alignment vertical="center"/>
    </xf>
    <xf numFmtId="0" fontId="37" fillId="0" borderId="0" applyFont="0" applyAlignment="0">
      <alignment vertical="center"/>
    </xf>
    <xf numFmtId="9" fontId="5" fillId="0" borderId="0" applyFont="0" applyFill="0" applyBorder="0" applyAlignment="0" applyProtection="0"/>
    <xf numFmtId="0" fontId="38" fillId="0" borderId="0"/>
    <xf numFmtId="9" fontId="5" fillId="0" borderId="0" applyFont="0" applyFill="0" applyBorder="0" applyAlignment="0" applyProtection="0"/>
    <xf numFmtId="0" fontId="5" fillId="0" borderId="0"/>
    <xf numFmtId="9" fontId="42" fillId="0" borderId="0" applyFont="0" applyFill="0" applyBorder="0" applyAlignment="0" applyProtection="0">
      <alignment vertical="center"/>
    </xf>
    <xf numFmtId="9" fontId="5" fillId="0" borderId="0" applyFont="0" applyFill="0" applyBorder="0" applyAlignment="0" applyProtection="0"/>
    <xf numFmtId="0" fontId="5" fillId="0" borderId="0"/>
    <xf numFmtId="0" fontId="39" fillId="0" borderId="0" applyBorder="0" applyAlignment="0"/>
    <xf numFmtId="9" fontId="19" fillId="0" borderId="0" applyFont="0" applyFill="0" applyBorder="0" applyAlignment="0" applyProtection="0">
      <alignment vertical="center"/>
    </xf>
    <xf numFmtId="0" fontId="19" fillId="0" borderId="0">
      <alignment vertical="center"/>
    </xf>
    <xf numFmtId="43" fontId="5" fillId="0" borderId="0" applyFont="0" applyFill="0" applyBorder="0" applyAlignment="0" applyProtection="0"/>
    <xf numFmtId="43" fontId="5" fillId="0" borderId="0" applyFont="0" applyFill="0" applyBorder="0" applyAlignment="0" applyProtection="0"/>
    <xf numFmtId="0" fontId="38" fillId="0" borderId="0"/>
    <xf numFmtId="0" fontId="5" fillId="0" borderId="0"/>
    <xf numFmtId="0" fontId="40" fillId="0" borderId="0" applyNumberForma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1" fontId="42"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8" fillId="0" borderId="0"/>
    <xf numFmtId="9" fontId="5"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43" fontId="5" fillId="0" borderId="0" applyFont="0" applyFill="0" applyBorder="0" applyAlignment="0" applyProtection="0"/>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43" fontId="5" fillId="0" borderId="0" applyFont="0" applyFill="0" applyBorder="0" applyAlignment="0" applyProtection="0"/>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37" fillId="0" borderId="0" applyFont="0" applyAlignment="0">
      <alignment vertical="center"/>
    </xf>
    <xf numFmtId="0" fontId="5" fillId="0" borderId="0"/>
    <xf numFmtId="0" fontId="5" fillId="0" borderId="0">
      <alignment vertical="center"/>
    </xf>
    <xf numFmtId="0" fontId="5" fillId="0" borderId="0"/>
    <xf numFmtId="0" fontId="5" fillId="0" borderId="0"/>
    <xf numFmtId="0" fontId="5" fillId="0" borderId="0"/>
    <xf numFmtId="0" fontId="5" fillId="0" borderId="0"/>
    <xf numFmtId="0" fontId="5" fillId="0" borderId="0"/>
    <xf numFmtId="0" fontId="42" fillId="0" borderId="0">
      <alignment vertical="center"/>
    </xf>
    <xf numFmtId="0" fontId="5" fillId="0" borderId="0"/>
    <xf numFmtId="0" fontId="5" fillId="0" borderId="0"/>
    <xf numFmtId="0" fontId="19" fillId="0" borderId="0">
      <alignment vertical="center"/>
    </xf>
    <xf numFmtId="43" fontId="5" fillId="0" borderId="0" applyFont="0" applyFill="0" applyBorder="0" applyAlignment="0" applyProtection="0"/>
    <xf numFmtId="43" fontId="5" fillId="0" borderId="0" applyFont="0" applyFill="0" applyBorder="0" applyAlignment="0" applyProtection="0"/>
    <xf numFmtId="0" fontId="19" fillId="0" borderId="0">
      <alignment vertical="center"/>
    </xf>
    <xf numFmtId="0" fontId="19" fillId="0" borderId="0">
      <alignment vertical="center"/>
    </xf>
    <xf numFmtId="0" fontId="5" fillId="0" borderId="0"/>
    <xf numFmtId="0" fontId="5" fillId="0" borderId="0"/>
    <xf numFmtId="0" fontId="5" fillId="0" borderId="0"/>
    <xf numFmtId="0" fontId="5" fillId="0" borderId="0">
      <alignment vertical="center"/>
    </xf>
    <xf numFmtId="0" fontId="38" fillId="0" borderId="0"/>
    <xf numFmtId="0" fontId="5" fillId="0" borderId="0"/>
    <xf numFmtId="0" fontId="5" fillId="0" borderId="0"/>
    <xf numFmtId="0" fontId="5" fillId="0" borderId="0"/>
    <xf numFmtId="0" fontId="5" fillId="0" borderId="0"/>
    <xf numFmtId="180" fontId="5" fillId="0" borderId="0" applyFont="0" applyFill="0" applyBorder="0" applyAlignment="0" applyProtection="0">
      <alignment vertical="center"/>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38" fillId="0" borderId="0"/>
  </cellStyleXfs>
  <cellXfs count="1313">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2" fillId="0" borderId="2" xfId="1" applyFont="1" applyBorder="1" applyAlignment="1">
      <alignment horizontal="left" vertical="center" wrapText="1"/>
    </xf>
    <xf numFmtId="0" fontId="2" fillId="0" borderId="2" xfId="1" applyFont="1" applyBorder="1" applyAlignment="1">
      <alignment horizontal="center" vertical="center" wrapText="1"/>
    </xf>
    <xf numFmtId="0" fontId="2" fillId="0" borderId="2" xfId="1" applyFont="1" applyBorder="1" applyAlignment="1">
      <alignment vertical="center"/>
    </xf>
    <xf numFmtId="0" fontId="2" fillId="0" borderId="2" xfId="1" applyFont="1" applyBorder="1" applyAlignment="1">
      <alignment horizontal="center" vertical="center"/>
    </xf>
    <xf numFmtId="0" fontId="2" fillId="0" borderId="2" xfId="1" applyFont="1" applyBorder="1" applyAlignment="1">
      <alignment horizontal="left" vertical="center"/>
    </xf>
    <xf numFmtId="0" fontId="4" fillId="0" borderId="0" xfId="0" applyFont="1" applyAlignment="1">
      <alignment horizontal="left" vertical="center"/>
    </xf>
    <xf numFmtId="0" fontId="5" fillId="0" borderId="2" xfId="30" applyBorder="1" applyAlignment="1">
      <alignment horizontal="center" vertical="center" wrapText="1"/>
    </xf>
    <xf numFmtId="0" fontId="5" fillId="0" borderId="2" xfId="30" applyBorder="1" applyAlignment="1">
      <alignment horizontal="center"/>
    </xf>
    <xf numFmtId="0" fontId="5" fillId="0" borderId="2" xfId="30" applyBorder="1" applyAlignment="1">
      <alignment horizontal="center" vertical="center" textRotation="255"/>
    </xf>
    <xf numFmtId="178" fontId="0" fillId="0" borderId="0" xfId="0" applyNumberFormat="1">
      <alignment vertical="center"/>
    </xf>
    <xf numFmtId="0" fontId="6" fillId="0" borderId="10" xfId="31" applyFont="1" applyBorder="1" applyAlignment="1">
      <alignment vertical="center" wrapText="1"/>
    </xf>
    <xf numFmtId="0" fontId="7" fillId="2" borderId="11" xfId="31" applyFont="1" applyFill="1" applyBorder="1" applyAlignment="1">
      <alignment horizontal="center" vertical="center" wrapText="1"/>
    </xf>
    <xf numFmtId="0" fontId="6" fillId="0" borderId="11" xfId="31" applyFont="1" applyBorder="1" applyAlignment="1">
      <alignment horizontal="center" vertical="center" wrapText="1"/>
    </xf>
    <xf numFmtId="0" fontId="6" fillId="3" borderId="11" xfId="31" applyFont="1" applyFill="1" applyBorder="1" applyAlignment="1">
      <alignment horizontal="center" vertical="center" wrapText="1"/>
    </xf>
    <xf numFmtId="0" fontId="7" fillId="4" borderId="11" xfId="31" applyFont="1" applyFill="1" applyBorder="1" applyAlignment="1">
      <alignment horizontal="center" vertical="center" wrapText="1"/>
    </xf>
    <xf numFmtId="178" fontId="6" fillId="0" borderId="11" xfId="31" applyNumberFormat="1" applyFont="1" applyBorder="1" applyAlignment="1">
      <alignment horizontal="center" vertical="center" wrapText="1"/>
    </xf>
    <xf numFmtId="178" fontId="7" fillId="2" borderId="11" xfId="31" applyNumberFormat="1" applyFont="1" applyFill="1" applyBorder="1" applyAlignment="1">
      <alignment horizontal="center" vertical="center" wrapText="1"/>
    </xf>
    <xf numFmtId="0" fontId="8" fillId="5" borderId="12" xfId="31" applyFont="1" applyFill="1" applyBorder="1" applyAlignment="1">
      <alignment horizontal="center" vertical="center"/>
    </xf>
    <xf numFmtId="0" fontId="8" fillId="5" borderId="13" xfId="31" applyFont="1" applyFill="1" applyBorder="1" applyAlignment="1">
      <alignment horizontal="center" vertical="center" wrapText="1"/>
    </xf>
    <xf numFmtId="178" fontId="8" fillId="5" borderId="13" xfId="31" applyNumberFormat="1" applyFont="1" applyFill="1" applyBorder="1" applyAlignment="1">
      <alignment horizontal="center" vertical="center" wrapText="1"/>
    </xf>
    <xf numFmtId="0" fontId="9" fillId="6" borderId="14" xfId="31" applyFont="1" applyFill="1" applyBorder="1" applyAlignment="1">
      <alignment horizontal="center"/>
    </xf>
    <xf numFmtId="1" fontId="10" fillId="6" borderId="15" xfId="31" applyNumberFormat="1" applyFont="1" applyFill="1" applyBorder="1" applyAlignment="1">
      <alignment horizontal="right"/>
    </xf>
    <xf numFmtId="1" fontId="9" fillId="6" borderId="16" xfId="31" applyNumberFormat="1" applyFont="1" applyFill="1" applyBorder="1" applyAlignment="1">
      <alignment horizontal="right" vertical="center"/>
    </xf>
    <xf numFmtId="1" fontId="9" fillId="6" borderId="17" xfId="31" applyNumberFormat="1" applyFont="1" applyFill="1" applyBorder="1" applyAlignment="1">
      <alignment horizontal="right" vertical="center"/>
    </xf>
    <xf numFmtId="1" fontId="9" fillId="7" borderId="15" xfId="31" applyNumberFormat="1" applyFont="1" applyFill="1" applyBorder="1" applyAlignment="1">
      <alignment horizontal="right" vertical="center"/>
    </xf>
    <xf numFmtId="182" fontId="9" fillId="6" borderId="15" xfId="31" applyNumberFormat="1" applyFont="1" applyFill="1" applyBorder="1" applyAlignment="1">
      <alignment horizontal="right" vertical="center"/>
    </xf>
    <xf numFmtId="178" fontId="9" fillId="6" borderId="15" xfId="31" applyNumberFormat="1" applyFont="1" applyFill="1" applyBorder="1" applyAlignment="1">
      <alignment horizontal="right" vertical="center"/>
    </xf>
    <xf numFmtId="0" fontId="9" fillId="8" borderId="18" xfId="31" applyFont="1" applyFill="1" applyBorder="1" applyAlignment="1">
      <alignment horizontal="center"/>
    </xf>
    <xf numFmtId="1" fontId="10" fillId="8" borderId="2" xfId="31" applyNumberFormat="1" applyFont="1" applyFill="1" applyBorder="1" applyAlignment="1">
      <alignment horizontal="right"/>
    </xf>
    <xf numFmtId="1" fontId="9" fillId="8" borderId="19" xfId="31" applyNumberFormat="1" applyFont="1" applyFill="1" applyBorder="1" applyAlignment="1">
      <alignment horizontal="right" vertical="center"/>
    </xf>
    <xf numFmtId="1" fontId="9" fillId="8" borderId="4" xfId="31" applyNumberFormat="1" applyFont="1" applyFill="1" applyBorder="1" applyAlignment="1">
      <alignment horizontal="right" vertical="center"/>
    </xf>
    <xf numFmtId="1" fontId="9" fillId="7" borderId="2" xfId="31" applyNumberFormat="1" applyFont="1" applyFill="1" applyBorder="1" applyAlignment="1">
      <alignment horizontal="right" vertical="center"/>
    </xf>
    <xf numFmtId="182" fontId="9" fillId="8" borderId="2" xfId="31" applyNumberFormat="1" applyFont="1" applyFill="1" applyBorder="1" applyAlignment="1">
      <alignment horizontal="right" vertical="center"/>
    </xf>
    <xf numFmtId="178" fontId="9" fillId="8" borderId="2" xfId="31" applyNumberFormat="1" applyFont="1" applyFill="1" applyBorder="1" applyAlignment="1">
      <alignment horizontal="right" vertical="center"/>
    </xf>
    <xf numFmtId="0" fontId="9" fillId="6" borderId="18" xfId="31" applyFont="1" applyFill="1" applyBorder="1" applyAlignment="1">
      <alignment horizontal="center"/>
    </xf>
    <xf numFmtId="1" fontId="10" fillId="6" borderId="2" xfId="31" applyNumberFormat="1" applyFont="1" applyFill="1" applyBorder="1" applyAlignment="1">
      <alignment horizontal="right"/>
    </xf>
    <xf numFmtId="1" fontId="9" fillId="6" borderId="19" xfId="31" applyNumberFormat="1" applyFont="1" applyFill="1" applyBorder="1" applyAlignment="1">
      <alignment horizontal="right" vertical="center"/>
    </xf>
    <xf numFmtId="1" fontId="9" fillId="6" borderId="4" xfId="31" applyNumberFormat="1" applyFont="1" applyFill="1" applyBorder="1" applyAlignment="1">
      <alignment horizontal="right" vertical="center"/>
    </xf>
    <xf numFmtId="182" fontId="9" fillId="6" borderId="2" xfId="31" applyNumberFormat="1" applyFont="1" applyFill="1" applyBorder="1" applyAlignment="1">
      <alignment horizontal="right" vertical="center"/>
    </xf>
    <xf numFmtId="178" fontId="9" fillId="6" borderId="2" xfId="31" applyNumberFormat="1" applyFont="1" applyFill="1" applyBorder="1" applyAlignment="1">
      <alignment horizontal="right" vertical="center"/>
    </xf>
    <xf numFmtId="1" fontId="9" fillId="8" borderId="2" xfId="31" applyNumberFormat="1" applyFont="1" applyFill="1" applyBorder="1" applyAlignment="1">
      <alignment horizontal="right" vertical="center"/>
    </xf>
    <xf numFmtId="0" fontId="9" fillId="6" borderId="20" xfId="31" applyFont="1" applyFill="1" applyBorder="1" applyAlignment="1">
      <alignment horizontal="center"/>
    </xf>
    <xf numFmtId="1" fontId="10" fillId="6" borderId="21" xfId="31" applyNumberFormat="1" applyFont="1" applyFill="1" applyBorder="1" applyAlignment="1">
      <alignment horizontal="right"/>
    </xf>
    <xf numFmtId="1" fontId="9" fillId="6" borderId="22" xfId="31" applyNumberFormat="1" applyFont="1" applyFill="1" applyBorder="1" applyAlignment="1">
      <alignment horizontal="right" vertical="center"/>
    </xf>
    <xf numFmtId="1" fontId="9" fillId="6" borderId="23" xfId="31" applyNumberFormat="1" applyFont="1" applyFill="1" applyBorder="1" applyAlignment="1">
      <alignment horizontal="right" vertical="center"/>
    </xf>
    <xf numFmtId="1" fontId="9" fillId="7" borderId="21" xfId="31" applyNumberFormat="1" applyFont="1" applyFill="1" applyBorder="1" applyAlignment="1">
      <alignment horizontal="right" vertical="center"/>
    </xf>
    <xf numFmtId="182" fontId="9" fillId="6" borderId="21" xfId="31" applyNumberFormat="1" applyFont="1" applyFill="1" applyBorder="1" applyAlignment="1">
      <alignment horizontal="right" vertical="center"/>
    </xf>
    <xf numFmtId="178" fontId="9" fillId="6" borderId="21" xfId="31" applyNumberFormat="1" applyFont="1" applyFill="1" applyBorder="1" applyAlignment="1">
      <alignment horizontal="right" vertical="center"/>
    </xf>
    <xf numFmtId="10" fontId="7" fillId="4" borderId="24" xfId="31" applyNumberFormat="1" applyFont="1" applyFill="1" applyBorder="1" applyAlignment="1">
      <alignment horizontal="center" vertical="center" wrapText="1"/>
    </xf>
    <xf numFmtId="0" fontId="11" fillId="0" borderId="0" xfId="31" applyFont="1" applyAlignment="1">
      <alignment horizontal="center" vertical="center" wrapText="1"/>
    </xf>
    <xf numFmtId="1" fontId="9" fillId="6" borderId="15" xfId="31" applyNumberFormat="1" applyFont="1" applyFill="1" applyBorder="1" applyAlignment="1">
      <alignment horizontal="right" vertical="center"/>
    </xf>
    <xf numFmtId="10" fontId="9" fillId="6" borderId="15" xfId="31" applyNumberFormat="1" applyFont="1" applyFill="1" applyBorder="1" applyAlignment="1">
      <alignment horizontal="right" vertical="center" wrapText="1"/>
    </xf>
    <xf numFmtId="10" fontId="9" fillId="8" borderId="2" xfId="31" applyNumberFormat="1" applyFont="1" applyFill="1" applyBorder="1" applyAlignment="1">
      <alignment horizontal="right" vertical="center" wrapText="1"/>
    </xf>
    <xf numFmtId="1" fontId="9" fillId="6" borderId="2" xfId="31" applyNumberFormat="1" applyFont="1" applyFill="1" applyBorder="1" applyAlignment="1">
      <alignment horizontal="right" vertical="center"/>
    </xf>
    <xf numFmtId="10" fontId="9" fillId="6" borderId="2" xfId="31" applyNumberFormat="1" applyFont="1" applyFill="1" applyBorder="1" applyAlignment="1">
      <alignment horizontal="right" vertical="center" wrapText="1"/>
    </xf>
    <xf numFmtId="1" fontId="9" fillId="6" borderId="21" xfId="31" applyNumberFormat="1" applyFont="1" applyFill="1" applyBorder="1" applyAlignment="1">
      <alignment horizontal="right" vertical="center"/>
    </xf>
    <xf numFmtId="10" fontId="9" fillId="6" borderId="21" xfId="31" applyNumberFormat="1" applyFont="1" applyFill="1" applyBorder="1" applyAlignment="1">
      <alignment horizontal="right" vertical="center" wrapText="1"/>
    </xf>
    <xf numFmtId="178" fontId="0" fillId="0" borderId="0" xfId="0" applyNumberFormat="1" applyAlignment="1">
      <alignment vertical="center"/>
    </xf>
    <xf numFmtId="0" fontId="5" fillId="0" borderId="0" xfId="31" applyAlignment="1">
      <alignment vertical="center"/>
    </xf>
    <xf numFmtId="0" fontId="8" fillId="5" borderId="25" xfId="31" applyFont="1" applyFill="1" applyBorder="1" applyAlignment="1">
      <alignment horizontal="center" vertical="center" wrapText="1"/>
    </xf>
    <xf numFmtId="178" fontId="8" fillId="5" borderId="25" xfId="31" applyNumberFormat="1" applyFont="1" applyFill="1" applyBorder="1" applyAlignment="1">
      <alignment horizontal="center" vertical="center" wrapText="1"/>
    </xf>
    <xf numFmtId="0" fontId="12" fillId="5" borderId="26" xfId="0" applyFont="1" applyFill="1" applyBorder="1" applyAlignment="1">
      <alignment vertical="center"/>
    </xf>
    <xf numFmtId="178" fontId="9" fillId="6" borderId="27" xfId="31" applyNumberFormat="1" applyFont="1" applyFill="1" applyBorder="1"/>
    <xf numFmtId="178" fontId="0" fillId="6" borderId="16" xfId="0" applyNumberFormat="1" applyFill="1" applyBorder="1">
      <alignment vertical="center"/>
    </xf>
    <xf numFmtId="178" fontId="9" fillId="8" borderId="3" xfId="31" applyNumberFormat="1" applyFont="1" applyFill="1" applyBorder="1"/>
    <xf numFmtId="178" fontId="0" fillId="8" borderId="19" xfId="0" applyNumberFormat="1" applyFill="1" applyBorder="1">
      <alignment vertical="center"/>
    </xf>
    <xf numFmtId="178" fontId="9" fillId="6" borderId="3" xfId="31" applyNumberFormat="1" applyFont="1" applyFill="1" applyBorder="1"/>
    <xf numFmtId="178" fontId="0" fillId="6" borderId="19" xfId="0" applyNumberFormat="1" applyFill="1" applyBorder="1">
      <alignment vertical="center"/>
    </xf>
    <xf numFmtId="178" fontId="9" fillId="6" borderId="28" xfId="31" applyNumberFormat="1" applyFont="1" applyFill="1" applyBorder="1"/>
    <xf numFmtId="178" fontId="0" fillId="6" borderId="22" xfId="0" applyNumberFormat="1" applyFill="1" applyBorder="1">
      <alignment vertical="center"/>
    </xf>
    <xf numFmtId="0" fontId="0" fillId="0" borderId="0" xfId="0" applyFont="1">
      <alignment vertical="center"/>
    </xf>
    <xf numFmtId="0" fontId="0" fillId="0" borderId="0" xfId="0" applyAlignment="1">
      <alignment horizontal="left" vertical="center"/>
    </xf>
    <xf numFmtId="0" fontId="0" fillId="0" borderId="0" xfId="0" applyFont="1" applyAlignment="1">
      <alignment horizontal="left"/>
    </xf>
    <xf numFmtId="177" fontId="9" fillId="0" borderId="0" xfId="33" applyNumberFormat="1" applyFont="1" applyBorder="1" applyAlignment="1">
      <alignment horizontal="center"/>
    </xf>
    <xf numFmtId="176" fontId="9" fillId="0" borderId="0" xfId="33" applyNumberFormat="1" applyFont="1" applyBorder="1" applyAlignment="1">
      <alignment horizontal="center"/>
    </xf>
    <xf numFmtId="183" fontId="13" fillId="5" borderId="12" xfId="33" applyNumberFormat="1" applyFont="1" applyFill="1" applyBorder="1" applyAlignment="1">
      <alignment horizontal="center" vertical="center"/>
    </xf>
    <xf numFmtId="183" fontId="13" fillId="5" borderId="13" xfId="33" applyNumberFormat="1" applyFont="1" applyFill="1" applyBorder="1" applyAlignment="1">
      <alignment horizontal="center" vertical="center"/>
    </xf>
    <xf numFmtId="0" fontId="13" fillId="5" borderId="13" xfId="33" applyFont="1" applyFill="1" applyBorder="1" applyAlignment="1">
      <alignment horizontal="center" vertical="center"/>
    </xf>
    <xf numFmtId="0" fontId="13" fillId="5" borderId="26" xfId="33" applyFont="1" applyFill="1" applyBorder="1" applyAlignment="1">
      <alignment horizontal="center" vertical="center"/>
    </xf>
    <xf numFmtId="9" fontId="13" fillId="6" borderId="29" xfId="33" applyNumberFormat="1" applyFont="1" applyFill="1" applyBorder="1" applyAlignment="1">
      <alignment horizontal="center" vertical="center"/>
    </xf>
    <xf numFmtId="1" fontId="13" fillId="6" borderId="17" xfId="33" applyNumberFormat="1" applyFont="1" applyFill="1" applyBorder="1" applyAlignment="1">
      <alignment horizontal="center" vertical="center"/>
    </xf>
    <xf numFmtId="1" fontId="13" fillId="6" borderId="15" xfId="33" applyNumberFormat="1" applyFont="1" applyFill="1" applyBorder="1" applyAlignment="1">
      <alignment horizontal="center" vertical="center"/>
    </xf>
    <xf numFmtId="1" fontId="13" fillId="6" borderId="16" xfId="33" applyNumberFormat="1" applyFont="1" applyFill="1" applyBorder="1" applyAlignment="1">
      <alignment horizontal="center" vertical="center"/>
    </xf>
    <xf numFmtId="9" fontId="13" fillId="8" borderId="30" xfId="33" applyNumberFormat="1" applyFont="1" applyFill="1" applyBorder="1" applyAlignment="1">
      <alignment horizontal="center" vertical="center"/>
    </xf>
    <xf numFmtId="1" fontId="14" fillId="8" borderId="4" xfId="33" applyNumberFormat="1" applyFont="1" applyFill="1" applyBorder="1" applyAlignment="1">
      <alignment horizontal="center" vertical="center"/>
    </xf>
    <xf numFmtId="1" fontId="14" fillId="8" borderId="2" xfId="33" applyNumberFormat="1" applyFont="1" applyFill="1" applyBorder="1" applyAlignment="1">
      <alignment horizontal="center" vertical="center"/>
    </xf>
    <xf numFmtId="1" fontId="14" fillId="8" borderId="19" xfId="33" applyNumberFormat="1" applyFont="1" applyFill="1" applyBorder="1" applyAlignment="1">
      <alignment horizontal="center" vertical="center"/>
    </xf>
    <xf numFmtId="9" fontId="13" fillId="6" borderId="30" xfId="33" applyNumberFormat="1" applyFont="1" applyFill="1" applyBorder="1" applyAlignment="1">
      <alignment horizontal="center" vertical="center"/>
    </xf>
    <xf numFmtId="1" fontId="14" fillId="6" borderId="4" xfId="33" applyNumberFormat="1" applyFont="1" applyFill="1" applyBorder="1" applyAlignment="1">
      <alignment horizontal="center" vertical="center"/>
    </xf>
    <xf numFmtId="1" fontId="14" fillId="6" borderId="2" xfId="33" applyNumberFormat="1" applyFont="1" applyFill="1" applyBorder="1" applyAlignment="1">
      <alignment horizontal="center" vertical="center"/>
    </xf>
    <xf numFmtId="1" fontId="14" fillId="6" borderId="19" xfId="33" applyNumberFormat="1" applyFont="1" applyFill="1" applyBorder="1" applyAlignment="1">
      <alignment horizontal="center" vertical="center"/>
    </xf>
    <xf numFmtId="1" fontId="9" fillId="6" borderId="2" xfId="33" applyNumberFormat="1" applyFont="1" applyFill="1" applyBorder="1" applyAlignment="1">
      <alignment horizontal="center" vertical="center"/>
    </xf>
    <xf numFmtId="1" fontId="9" fillId="8" borderId="2" xfId="33" applyNumberFormat="1" applyFont="1" applyFill="1" applyBorder="1" applyAlignment="1">
      <alignment horizontal="center" vertical="center"/>
    </xf>
    <xf numFmtId="9" fontId="13" fillId="6" borderId="31" xfId="33" applyNumberFormat="1" applyFont="1" applyFill="1" applyBorder="1" applyAlignment="1">
      <alignment horizontal="center" vertical="center"/>
    </xf>
    <xf numFmtId="1" fontId="14" fillId="6" borderId="23" xfId="33" applyNumberFormat="1" applyFont="1" applyFill="1" applyBorder="1" applyAlignment="1">
      <alignment horizontal="center" vertical="center"/>
    </xf>
    <xf numFmtId="1" fontId="9" fillId="6" borderId="21" xfId="33" applyNumberFormat="1" applyFont="1" applyFill="1" applyBorder="1" applyAlignment="1">
      <alignment horizontal="center" vertical="center"/>
    </xf>
    <xf numFmtId="1" fontId="14" fillId="6" borderId="22" xfId="33" applyNumberFormat="1" applyFont="1" applyFill="1" applyBorder="1" applyAlignment="1">
      <alignment horizontal="center" vertical="center"/>
    </xf>
    <xf numFmtId="0" fontId="15" fillId="0" borderId="32" xfId="31" applyFont="1" applyBorder="1" applyAlignment="1">
      <alignment wrapText="1"/>
    </xf>
    <xf numFmtId="181" fontId="15" fillId="2" borderId="33" xfId="31" applyNumberFormat="1" applyFont="1" applyFill="1" applyBorder="1" applyAlignment="1">
      <alignment horizontal="center" wrapText="1"/>
    </xf>
    <xf numFmtId="0" fontId="15" fillId="0" borderId="33" xfId="31" applyFont="1" applyBorder="1" applyAlignment="1">
      <alignment horizontal="center" wrapText="1"/>
    </xf>
    <xf numFmtId="0" fontId="15" fillId="2" borderId="34" xfId="31" applyFont="1" applyFill="1" applyBorder="1" applyAlignment="1">
      <alignment horizontal="center" wrapText="1"/>
    </xf>
    <xf numFmtId="0" fontId="11" fillId="0" borderId="0" xfId="31" applyFont="1" applyAlignment="1">
      <alignment horizontal="center" wrapText="1"/>
    </xf>
    <xf numFmtId="178" fontId="11" fillId="0" borderId="0" xfId="31" applyNumberFormat="1" applyFont="1" applyAlignment="1">
      <alignment horizontal="center" wrapText="1"/>
    </xf>
    <xf numFmtId="0" fontId="8" fillId="5" borderId="12" xfId="31" applyFont="1" applyFill="1" applyBorder="1" applyAlignment="1">
      <alignment horizontal="center"/>
    </xf>
    <xf numFmtId="182" fontId="10" fillId="6" borderId="16" xfId="31" applyNumberFormat="1" applyFont="1" applyFill="1" applyBorder="1" applyAlignment="1">
      <alignment horizontal="right"/>
    </xf>
    <xf numFmtId="10" fontId="9" fillId="6" borderId="15" xfId="31" applyNumberFormat="1" applyFont="1" applyFill="1" applyBorder="1" applyAlignment="1">
      <alignment horizontal="right" vertical="center"/>
    </xf>
    <xf numFmtId="182" fontId="10" fillId="8" borderId="19" xfId="31" applyNumberFormat="1" applyFont="1" applyFill="1" applyBorder="1" applyAlignment="1">
      <alignment horizontal="right"/>
    </xf>
    <xf numFmtId="10" fontId="9" fillId="8" borderId="2" xfId="31" applyNumberFormat="1" applyFont="1" applyFill="1" applyBorder="1" applyAlignment="1">
      <alignment horizontal="right" vertical="center"/>
    </xf>
    <xf numFmtId="182" fontId="10" fillId="6" borderId="19" xfId="31" applyNumberFormat="1" applyFont="1" applyFill="1" applyBorder="1" applyAlignment="1">
      <alignment horizontal="right"/>
    </xf>
    <xf numFmtId="10" fontId="9" fillId="6" borderId="2" xfId="31" applyNumberFormat="1" applyFont="1" applyFill="1" applyBorder="1" applyAlignment="1">
      <alignment horizontal="right" vertical="center"/>
    </xf>
    <xf numFmtId="182" fontId="9" fillId="8" borderId="19" xfId="31" applyNumberFormat="1" applyFont="1" applyFill="1" applyBorder="1" applyAlignment="1">
      <alignment horizontal="right" vertical="center"/>
    </xf>
    <xf numFmtId="182" fontId="10" fillId="6" borderId="22" xfId="31" applyNumberFormat="1" applyFont="1" applyFill="1" applyBorder="1" applyAlignment="1">
      <alignment horizontal="right"/>
    </xf>
    <xf numFmtId="10" fontId="9" fillId="6" borderId="21" xfId="31" applyNumberFormat="1" applyFont="1" applyFill="1" applyBorder="1" applyAlignment="1">
      <alignment horizontal="right" vertical="center"/>
    </xf>
    <xf numFmtId="0" fontId="5" fillId="0" borderId="0" xfId="31"/>
    <xf numFmtId="178" fontId="5" fillId="0" borderId="0" xfId="31" applyNumberFormat="1"/>
    <xf numFmtId="0" fontId="12" fillId="5" borderId="26" xfId="0" applyFont="1" applyFill="1" applyBorder="1">
      <alignment vertical="center"/>
    </xf>
    <xf numFmtId="178" fontId="9" fillId="6" borderId="15" xfId="31" applyNumberFormat="1" applyFont="1" applyFill="1" applyBorder="1"/>
    <xf numFmtId="1" fontId="0" fillId="6" borderId="16" xfId="0" applyNumberFormat="1" applyFill="1" applyBorder="1">
      <alignment vertical="center"/>
    </xf>
    <xf numFmtId="178" fontId="9" fillId="8" borderId="2" xfId="31" applyNumberFormat="1" applyFont="1" applyFill="1" applyBorder="1"/>
    <xf numFmtId="1" fontId="0" fillId="8" borderId="19" xfId="0" applyNumberFormat="1" applyFill="1" applyBorder="1">
      <alignment vertical="center"/>
    </xf>
    <xf numFmtId="178" fontId="9" fillId="6" borderId="2" xfId="31" applyNumberFormat="1" applyFont="1" applyFill="1" applyBorder="1"/>
    <xf numFmtId="1" fontId="0" fillId="6" borderId="19" xfId="0" applyNumberFormat="1" applyFill="1" applyBorder="1">
      <alignment vertical="center"/>
    </xf>
    <xf numFmtId="178" fontId="9" fillId="6" borderId="21" xfId="31" applyNumberFormat="1" applyFont="1" applyFill="1" applyBorder="1"/>
    <xf numFmtId="1" fontId="0" fillId="6" borderId="22" xfId="0" applyNumberFormat="1" applyFill="1" applyBorder="1">
      <alignment vertical="center"/>
    </xf>
    <xf numFmtId="0" fontId="0" fillId="0" borderId="0" xfId="0" applyBorder="1" applyAlignment="1">
      <alignment horizontal="left" vertical="center"/>
    </xf>
    <xf numFmtId="0" fontId="0" fillId="0" borderId="35" xfId="0" applyBorder="1">
      <alignment vertical="center"/>
    </xf>
    <xf numFmtId="0" fontId="0" fillId="0" borderId="37" xfId="0" applyBorder="1">
      <alignment vertical="center"/>
    </xf>
    <xf numFmtId="9" fontId="16" fillId="5" borderId="21" xfId="15" applyNumberFormat="1" applyFont="1" applyFill="1" applyBorder="1" applyAlignment="1">
      <alignment horizontal="center" vertical="center" wrapText="1"/>
    </xf>
    <xf numFmtId="0" fontId="0" fillId="6" borderId="35" xfId="0" applyFill="1" applyBorder="1">
      <alignment vertical="center"/>
    </xf>
    <xf numFmtId="0" fontId="5" fillId="6" borderId="16" xfId="15" applyFill="1" applyBorder="1" applyAlignment="1">
      <alignment horizontal="left" vertical="center" wrapText="1"/>
    </xf>
    <xf numFmtId="10" fontId="5" fillId="6" borderId="17" xfId="15" applyNumberFormat="1" applyFill="1" applyBorder="1" applyAlignment="1">
      <alignment horizontal="center" vertical="center" wrapText="1"/>
    </xf>
    <xf numFmtId="10" fontId="5" fillId="6" borderId="15" xfId="15" applyNumberFormat="1" applyFill="1" applyBorder="1" applyAlignment="1">
      <alignment horizontal="center" vertical="center" wrapText="1"/>
    </xf>
    <xf numFmtId="10" fontId="5" fillId="6" borderId="16" xfId="15" applyNumberFormat="1" applyFont="1" applyFill="1" applyBorder="1" applyAlignment="1">
      <alignment horizontal="center" vertical="center" wrapText="1"/>
    </xf>
    <xf numFmtId="0" fontId="0" fillId="8" borderId="38" xfId="0" applyFill="1" applyBorder="1">
      <alignment vertical="center"/>
    </xf>
    <xf numFmtId="0" fontId="5" fillId="8" borderId="30" xfId="15" applyFill="1" applyBorder="1" applyAlignment="1">
      <alignment vertical="center" wrapText="1"/>
    </xf>
    <xf numFmtId="1" fontId="5" fillId="8" borderId="4" xfId="15" applyNumberFormat="1" applyFill="1" applyBorder="1" applyAlignment="1">
      <alignment horizontal="center" vertical="center" wrapText="1"/>
    </xf>
    <xf numFmtId="1" fontId="5" fillId="8" borderId="2" xfId="15" applyNumberFormat="1" applyFill="1" applyBorder="1" applyAlignment="1">
      <alignment horizontal="center" vertical="center" wrapText="1"/>
    </xf>
    <xf numFmtId="1" fontId="5" fillId="8" borderId="19" xfId="15" applyNumberFormat="1" applyFont="1" applyFill="1" applyBorder="1" applyAlignment="1">
      <alignment horizontal="center" vertical="center" wrapText="1"/>
    </xf>
    <xf numFmtId="0" fontId="0" fillId="6" borderId="38" xfId="0" applyFill="1" applyBorder="1">
      <alignment vertical="center"/>
    </xf>
    <xf numFmtId="0" fontId="5" fillId="6" borderId="30" xfId="15" applyFill="1" applyBorder="1" applyAlignment="1">
      <alignment vertical="center" wrapText="1"/>
    </xf>
    <xf numFmtId="1" fontId="5" fillId="6" borderId="4" xfId="15" applyNumberFormat="1" applyFill="1" applyBorder="1" applyAlignment="1">
      <alignment horizontal="center" vertical="center" wrapText="1"/>
    </xf>
    <xf numFmtId="1" fontId="5" fillId="6" borderId="2" xfId="15" applyNumberFormat="1" applyFill="1" applyBorder="1" applyAlignment="1">
      <alignment horizontal="center" vertical="center" wrapText="1"/>
    </xf>
    <xf numFmtId="1" fontId="3" fillId="6" borderId="19" xfId="15" applyNumberFormat="1" applyFont="1" applyFill="1" applyBorder="1" applyAlignment="1">
      <alignment horizontal="center" vertical="center" wrapText="1"/>
    </xf>
    <xf numFmtId="1" fontId="3" fillId="8" borderId="19" xfId="15" applyNumberFormat="1" applyFont="1" applyFill="1" applyBorder="1" applyAlignment="1">
      <alignment horizontal="center" vertical="center" wrapText="1"/>
    </xf>
    <xf numFmtId="10" fontId="5" fillId="8" borderId="4" xfId="15" applyNumberFormat="1" applyFill="1" applyBorder="1" applyAlignment="1">
      <alignment horizontal="center" vertical="center" wrapText="1"/>
    </xf>
    <xf numFmtId="10" fontId="5" fillId="8" borderId="2" xfId="15" applyNumberFormat="1" applyFill="1" applyBorder="1" applyAlignment="1">
      <alignment horizontal="center" vertical="center" wrapText="1"/>
    </xf>
    <xf numFmtId="10" fontId="3" fillId="8" borderId="19" xfId="15" applyNumberFormat="1" applyFont="1" applyFill="1" applyBorder="1" applyAlignment="1">
      <alignment horizontal="center" vertical="center" wrapText="1"/>
    </xf>
    <xf numFmtId="0" fontId="5" fillId="6" borderId="39" xfId="15" applyFill="1" applyBorder="1" applyAlignment="1">
      <alignment vertical="center" wrapText="1"/>
    </xf>
    <xf numFmtId="10" fontId="5" fillId="6" borderId="40" xfId="15" applyNumberFormat="1" applyFill="1" applyBorder="1" applyAlignment="1">
      <alignment horizontal="center" vertical="center" wrapText="1"/>
    </xf>
    <xf numFmtId="10" fontId="5" fillId="6" borderId="6" xfId="15" applyNumberFormat="1" applyFill="1" applyBorder="1" applyAlignment="1">
      <alignment horizontal="center" vertical="center" wrapText="1"/>
    </xf>
    <xf numFmtId="10" fontId="3" fillId="6" borderId="41" xfId="15" applyNumberFormat="1" applyFont="1" applyFill="1" applyBorder="1" applyAlignment="1">
      <alignment horizontal="center" vertical="center" wrapText="1"/>
    </xf>
    <xf numFmtId="0" fontId="5" fillId="8" borderId="39" xfId="15" applyFill="1" applyBorder="1" applyAlignment="1">
      <alignment vertical="center" wrapText="1"/>
    </xf>
    <xf numFmtId="10" fontId="5" fillId="8" borderId="40" xfId="15" applyNumberFormat="1" applyFill="1" applyBorder="1" applyAlignment="1">
      <alignment horizontal="center" vertical="center" wrapText="1"/>
    </xf>
    <xf numFmtId="10" fontId="5" fillId="8" borderId="6" xfId="15" applyNumberFormat="1" applyFill="1" applyBorder="1" applyAlignment="1">
      <alignment horizontal="center" vertical="center" wrapText="1"/>
    </xf>
    <xf numFmtId="10" fontId="3" fillId="8" borderId="41" xfId="15" applyNumberFormat="1" applyFont="1" applyFill="1" applyBorder="1" applyAlignment="1">
      <alignment horizontal="center" vertical="center" wrapText="1"/>
    </xf>
    <xf numFmtId="0" fontId="0" fillId="6" borderId="37" xfId="0" applyFill="1" applyBorder="1">
      <alignment vertical="center"/>
    </xf>
    <xf numFmtId="0" fontId="5" fillId="6" borderId="31" xfId="15" applyFill="1" applyBorder="1" applyAlignment="1">
      <alignment vertical="center" wrapText="1"/>
    </xf>
    <xf numFmtId="10" fontId="5" fillId="6" borderId="23" xfId="15" applyNumberFormat="1" applyFill="1" applyBorder="1" applyAlignment="1">
      <alignment horizontal="center" vertical="center" wrapText="1"/>
    </xf>
    <xf numFmtId="10" fontId="5" fillId="6" borderId="21" xfId="15" applyNumberFormat="1" applyFill="1" applyBorder="1" applyAlignment="1">
      <alignment horizontal="center" vertical="center" wrapText="1"/>
    </xf>
    <xf numFmtId="10" fontId="3" fillId="6" borderId="22" xfId="15" applyNumberFormat="1" applyFont="1" applyFill="1" applyBorder="1" applyAlignment="1">
      <alignment horizontal="center" vertical="center" wrapText="1"/>
    </xf>
    <xf numFmtId="9" fontId="16" fillId="5" borderId="21" xfId="28" applyNumberFormat="1" applyFont="1" applyFill="1" applyBorder="1" applyAlignment="1">
      <alignment horizontal="center" vertical="center" wrapText="1"/>
    </xf>
    <xf numFmtId="49" fontId="16" fillId="5" borderId="21" xfId="28" applyNumberFormat="1" applyFont="1" applyFill="1" applyBorder="1" applyAlignment="1">
      <alignment horizontal="center" vertical="center" wrapText="1"/>
    </xf>
    <xf numFmtId="0" fontId="5" fillId="6" borderId="29" xfId="28" applyFill="1" applyBorder="1" applyAlignment="1">
      <alignment horizontal="left" vertical="center" wrapText="1"/>
    </xf>
    <xf numFmtId="1" fontId="5" fillId="6" borderId="17" xfId="28" applyNumberFormat="1" applyFill="1" applyBorder="1" applyAlignment="1">
      <alignment horizontal="center" vertical="center" wrapText="1"/>
    </xf>
    <xf numFmtId="1" fontId="5" fillId="6" borderId="15" xfId="28" applyNumberFormat="1" applyFill="1" applyBorder="1" applyAlignment="1">
      <alignment horizontal="center" vertical="center" wrapText="1"/>
    </xf>
    <xf numFmtId="0" fontId="5" fillId="8" borderId="30" xfId="28" applyFill="1" applyBorder="1" applyAlignment="1">
      <alignment vertical="center" wrapText="1"/>
    </xf>
    <xf numFmtId="1" fontId="0" fillId="8" borderId="4" xfId="0" applyNumberFormat="1" applyFill="1" applyBorder="1" applyAlignment="1">
      <alignment horizontal="center" vertical="center"/>
    </xf>
    <xf numFmtId="1" fontId="5" fillId="8" borderId="2" xfId="28" applyNumberFormat="1" applyFill="1" applyBorder="1" applyAlignment="1">
      <alignment horizontal="center" vertical="center" wrapText="1"/>
    </xf>
    <xf numFmtId="0" fontId="5" fillId="6" borderId="30" xfId="28" applyFill="1" applyBorder="1" applyAlignment="1">
      <alignment vertical="center" wrapText="1"/>
    </xf>
    <xf numFmtId="1" fontId="0" fillId="6" borderId="4" xfId="0" applyNumberFormat="1" applyFill="1" applyBorder="1" applyAlignment="1">
      <alignment horizontal="center" vertical="center"/>
    </xf>
    <xf numFmtId="1" fontId="5" fillId="6" borderId="2" xfId="28" applyNumberFormat="1" applyFill="1" applyBorder="1" applyAlignment="1">
      <alignment horizontal="center" vertical="center" wrapText="1"/>
    </xf>
    <xf numFmtId="10" fontId="0" fillId="8" borderId="4" xfId="0" applyNumberFormat="1" applyFill="1" applyBorder="1" applyAlignment="1">
      <alignment horizontal="center" vertical="center"/>
    </xf>
    <xf numFmtId="10" fontId="5" fillId="8" borderId="2" xfId="28" applyNumberFormat="1" applyFill="1" applyBorder="1" applyAlignment="1">
      <alignment horizontal="center" vertical="center" wrapText="1"/>
    </xf>
    <xf numFmtId="0" fontId="5" fillId="6" borderId="39" xfId="28" applyFill="1" applyBorder="1" applyAlignment="1">
      <alignment vertical="center" wrapText="1"/>
    </xf>
    <xf numFmtId="10" fontId="0" fillId="6" borderId="4" xfId="0" applyNumberFormat="1" applyFill="1" applyBorder="1" applyAlignment="1">
      <alignment horizontal="center" vertical="center"/>
    </xf>
    <xf numFmtId="10" fontId="5" fillId="6" borderId="6" xfId="28" applyNumberFormat="1" applyFill="1" applyBorder="1" applyAlignment="1">
      <alignment horizontal="center" vertical="center" wrapText="1"/>
    </xf>
    <xf numFmtId="0" fontId="5" fillId="8" borderId="39" xfId="28" applyFill="1" applyBorder="1" applyAlignment="1">
      <alignment vertical="center" wrapText="1"/>
    </xf>
    <xf numFmtId="10" fontId="0" fillId="8" borderId="40" xfId="0" applyNumberFormat="1" applyFill="1" applyBorder="1" applyAlignment="1">
      <alignment horizontal="center" vertical="center"/>
    </xf>
    <xf numFmtId="10" fontId="5" fillId="8" borderId="6" xfId="28" applyNumberFormat="1" applyFill="1" applyBorder="1" applyAlignment="1">
      <alignment horizontal="center" vertical="center" wrapText="1"/>
    </xf>
    <xf numFmtId="0" fontId="5" fillId="6" borderId="31" xfId="28" applyFill="1" applyBorder="1" applyAlignment="1">
      <alignment vertical="center" wrapText="1"/>
    </xf>
    <xf numFmtId="10" fontId="5" fillId="6" borderId="23" xfId="28" applyNumberFormat="1" applyFill="1" applyBorder="1" applyAlignment="1">
      <alignment horizontal="center" vertical="center" wrapText="1"/>
    </xf>
    <xf numFmtId="10" fontId="5" fillId="6" borderId="21" xfId="28" applyNumberFormat="1" applyFill="1" applyBorder="1" applyAlignment="1">
      <alignment horizontal="center" vertical="center" wrapText="1"/>
    </xf>
    <xf numFmtId="1" fontId="5" fillId="6" borderId="16" xfId="28" applyNumberFormat="1" applyFont="1" applyFill="1" applyBorder="1" applyAlignment="1">
      <alignment horizontal="center" vertical="center" wrapText="1"/>
    </xf>
    <xf numFmtId="1" fontId="5" fillId="8" borderId="19" xfId="28" applyNumberFormat="1" applyFont="1" applyFill="1" applyBorder="1" applyAlignment="1">
      <alignment horizontal="center" vertical="center" wrapText="1"/>
    </xf>
    <xf numFmtId="1" fontId="3" fillId="6" borderId="19" xfId="28" applyNumberFormat="1" applyFont="1" applyFill="1" applyBorder="1" applyAlignment="1">
      <alignment horizontal="center" vertical="center" wrapText="1"/>
    </xf>
    <xf numFmtId="1" fontId="3" fillId="8" borderId="19" xfId="28" applyNumberFormat="1" applyFont="1" applyFill="1" applyBorder="1" applyAlignment="1">
      <alignment horizontal="center" vertical="center" wrapText="1"/>
    </xf>
    <xf numFmtId="10" fontId="3" fillId="8" borderId="19" xfId="28" applyNumberFormat="1" applyFont="1" applyFill="1" applyBorder="1" applyAlignment="1">
      <alignment horizontal="center" vertical="center" wrapText="1"/>
    </xf>
    <xf numFmtId="10" fontId="3" fillId="6" borderId="41" xfId="28" applyNumberFormat="1" applyFont="1" applyFill="1" applyBorder="1" applyAlignment="1">
      <alignment horizontal="center" vertical="center" wrapText="1"/>
    </xf>
    <xf numFmtId="10" fontId="3" fillId="8" borderId="41" xfId="28" applyNumberFormat="1" applyFont="1" applyFill="1" applyBorder="1" applyAlignment="1">
      <alignment horizontal="center" vertical="center" wrapText="1"/>
    </xf>
    <xf numFmtId="10" fontId="3" fillId="6" borderId="22" xfId="28" applyNumberFormat="1" applyFont="1" applyFill="1" applyBorder="1" applyAlignment="1">
      <alignment horizontal="center" vertical="center" wrapText="1"/>
    </xf>
    <xf numFmtId="0" fontId="0" fillId="3" borderId="0" xfId="0" applyFill="1">
      <alignment vertical="center"/>
    </xf>
    <xf numFmtId="0" fontId="5" fillId="0" borderId="0" xfId="85" applyFont="1" applyAlignment="1">
      <alignment horizontal="center" vertical="center"/>
    </xf>
    <xf numFmtId="0" fontId="0" fillId="0" borderId="0" xfId="0" applyBorder="1" applyAlignment="1">
      <alignment vertical="center"/>
    </xf>
    <xf numFmtId="0" fontId="5" fillId="0" borderId="0" xfId="84" applyAlignment="1">
      <alignment horizontal="right" vertical="center"/>
    </xf>
    <xf numFmtId="0" fontId="17" fillId="5" borderId="12" xfId="0" applyFont="1" applyFill="1" applyBorder="1" applyAlignment="1">
      <alignment horizontal="center" vertical="center"/>
    </xf>
    <xf numFmtId="0" fontId="18" fillId="5" borderId="13" xfId="85" applyFont="1" applyFill="1" applyBorder="1" applyAlignment="1">
      <alignment horizontal="center" vertical="center"/>
    </xf>
    <xf numFmtId="0" fontId="13" fillId="10" borderId="13" xfId="87" applyFont="1" applyFill="1" applyBorder="1" applyAlignment="1">
      <alignment horizontal="center" vertical="center" wrapText="1"/>
    </xf>
    <xf numFmtId="0" fontId="17" fillId="10" borderId="13" xfId="0" applyFont="1" applyFill="1" applyBorder="1" applyAlignment="1">
      <alignment horizontal="center" vertical="center"/>
    </xf>
    <xf numFmtId="0" fontId="17" fillId="10" borderId="26" xfId="0" applyFont="1" applyFill="1" applyBorder="1" applyAlignment="1">
      <alignment horizontal="center" vertical="center"/>
    </xf>
    <xf numFmtId="0" fontId="0" fillId="6" borderId="14" xfId="0" applyFont="1" applyFill="1" applyBorder="1" applyAlignment="1">
      <alignment horizontal="center" vertical="center"/>
    </xf>
    <xf numFmtId="0" fontId="19" fillId="6" borderId="15" xfId="85" applyFont="1" applyFill="1" applyBorder="1" applyAlignment="1">
      <alignment horizontal="left" vertical="center"/>
    </xf>
    <xf numFmtId="182" fontId="19" fillId="6" borderId="16" xfId="85" applyNumberFormat="1" applyFont="1" applyFill="1" applyBorder="1" applyAlignment="1">
      <alignment horizontal="left" vertical="center"/>
    </xf>
    <xf numFmtId="182" fontId="9" fillId="6" borderId="17" xfId="84" applyNumberFormat="1" applyFont="1" applyFill="1" applyBorder="1" applyAlignment="1">
      <alignment horizontal="right" vertical="center"/>
    </xf>
    <xf numFmtId="182" fontId="0" fillId="6" borderId="15" xfId="0" applyNumberFormat="1" applyFont="1" applyFill="1" applyBorder="1" applyAlignment="1">
      <alignment horizontal="right" vertical="center"/>
    </xf>
    <xf numFmtId="182" fontId="0" fillId="6" borderId="16" xfId="0" applyNumberFormat="1" applyFont="1" applyFill="1" applyBorder="1" applyAlignment="1">
      <alignment horizontal="right" vertical="center"/>
    </xf>
    <xf numFmtId="0" fontId="0" fillId="8" borderId="18" xfId="0" applyFont="1" applyFill="1" applyBorder="1" applyAlignment="1">
      <alignment horizontal="center" vertical="center"/>
    </xf>
    <xf numFmtId="0" fontId="19" fillId="8" borderId="2" xfId="85" applyFont="1" applyFill="1" applyBorder="1" applyAlignment="1">
      <alignment horizontal="left" vertical="center"/>
    </xf>
    <xf numFmtId="184" fontId="19" fillId="8" borderId="19" xfId="85" applyNumberFormat="1" applyFont="1" applyFill="1" applyBorder="1" applyAlignment="1">
      <alignment horizontal="left" vertical="center"/>
    </xf>
    <xf numFmtId="184" fontId="9" fillId="8" borderId="4" xfId="84" applyNumberFormat="1" applyFont="1" applyFill="1" applyBorder="1" applyAlignment="1">
      <alignment horizontal="right" vertical="center"/>
    </xf>
    <xf numFmtId="184" fontId="0" fillId="8" borderId="2" xfId="0" applyNumberFormat="1" applyFont="1" applyFill="1" applyBorder="1" applyAlignment="1">
      <alignment horizontal="right" vertical="center"/>
    </xf>
    <xf numFmtId="184" fontId="0" fillId="8" borderId="19" xfId="0" applyNumberFormat="1" applyFont="1" applyFill="1" applyBorder="1" applyAlignment="1">
      <alignment horizontal="right" vertical="center"/>
    </xf>
    <xf numFmtId="0" fontId="0" fillId="6" borderId="18" xfId="0" applyFont="1" applyFill="1" applyBorder="1" applyAlignment="1">
      <alignment horizontal="center" vertical="center"/>
    </xf>
    <xf numFmtId="0" fontId="19" fillId="6" borderId="2" xfId="85" applyFont="1" applyFill="1" applyBorder="1" applyAlignment="1">
      <alignment horizontal="left" vertical="center"/>
    </xf>
    <xf numFmtId="184" fontId="19" fillId="6" borderId="19" xfId="85" applyNumberFormat="1" applyFont="1" applyFill="1" applyBorder="1" applyAlignment="1">
      <alignment horizontal="left" vertical="center"/>
    </xf>
    <xf numFmtId="184" fontId="9" fillId="6" borderId="4" xfId="84" applyNumberFormat="1" applyFont="1" applyFill="1" applyBorder="1" applyAlignment="1">
      <alignment horizontal="right" vertical="center"/>
    </xf>
    <xf numFmtId="184" fontId="0" fillId="6" borderId="2" xfId="0" applyNumberFormat="1" applyFont="1" applyFill="1" applyBorder="1" applyAlignment="1">
      <alignment horizontal="right" vertical="center"/>
    </xf>
    <xf numFmtId="184" fontId="0" fillId="6" borderId="19" xfId="0" applyNumberFormat="1" applyFont="1" applyFill="1" applyBorder="1" applyAlignment="1">
      <alignment horizontal="right" vertical="center"/>
    </xf>
    <xf numFmtId="185" fontId="13" fillId="6" borderId="2" xfId="85" applyNumberFormat="1" applyFont="1" applyFill="1" applyBorder="1" applyAlignment="1">
      <alignment horizontal="left" vertical="center"/>
    </xf>
    <xf numFmtId="184" fontId="13" fillId="6" borderId="19" xfId="85" applyNumberFormat="1" applyFont="1" applyFill="1" applyBorder="1" applyAlignment="1">
      <alignment horizontal="left" vertical="center"/>
    </xf>
    <xf numFmtId="184" fontId="9" fillId="6" borderId="4" xfId="95" applyNumberFormat="1" applyFont="1" applyFill="1" applyBorder="1" applyAlignment="1">
      <alignment horizontal="right" vertical="center"/>
    </xf>
    <xf numFmtId="185" fontId="9" fillId="8" borderId="2" xfId="85" applyNumberFormat="1" applyFont="1" applyFill="1" applyBorder="1" applyAlignment="1">
      <alignment horizontal="left" vertical="center"/>
    </xf>
    <xf numFmtId="184" fontId="9" fillId="8" borderId="19" xfId="85" applyNumberFormat="1" applyFont="1" applyFill="1" applyBorder="1" applyAlignment="1">
      <alignment horizontal="left" vertical="center"/>
    </xf>
    <xf numFmtId="184" fontId="9" fillId="8" borderId="4" xfId="95" applyNumberFormat="1" applyFont="1" applyFill="1" applyBorder="1" applyAlignment="1">
      <alignment horizontal="right" vertical="center"/>
    </xf>
    <xf numFmtId="185" fontId="9" fillId="6" borderId="2" xfId="85" applyNumberFormat="1" applyFont="1" applyFill="1" applyBorder="1" applyAlignment="1">
      <alignment horizontal="left" vertical="center"/>
    </xf>
    <xf numFmtId="184" fontId="9" fillId="6" borderId="19" xfId="85" applyNumberFormat="1" applyFont="1" applyFill="1" applyBorder="1" applyAlignment="1">
      <alignment horizontal="left" vertical="center"/>
    </xf>
    <xf numFmtId="184" fontId="9" fillId="8" borderId="4" xfId="85" applyNumberFormat="1" applyFont="1" applyFill="1" applyBorder="1" applyAlignment="1">
      <alignment horizontal="right" vertical="center"/>
    </xf>
    <xf numFmtId="184" fontId="9" fillId="6" borderId="4" xfId="85" applyNumberFormat="1" applyFont="1" applyFill="1" applyBorder="1" applyAlignment="1">
      <alignment horizontal="right" vertical="center"/>
    </xf>
    <xf numFmtId="185" fontId="13" fillId="8" borderId="2" xfId="85" applyNumberFormat="1" applyFont="1" applyFill="1" applyBorder="1" applyAlignment="1">
      <alignment horizontal="left" vertical="center"/>
    </xf>
    <xf numFmtId="184" fontId="13" fillId="8" borderId="19" xfId="85" applyNumberFormat="1" applyFont="1" applyFill="1" applyBorder="1" applyAlignment="1">
      <alignment horizontal="left" vertical="center"/>
    </xf>
    <xf numFmtId="0" fontId="0" fillId="8" borderId="18" xfId="0" applyFont="1" applyFill="1" applyBorder="1">
      <alignment vertical="center"/>
    </xf>
    <xf numFmtId="185" fontId="9" fillId="8" borderId="19" xfId="85" applyNumberFormat="1" applyFont="1" applyFill="1" applyBorder="1" applyAlignment="1">
      <alignment horizontal="left" vertical="center"/>
    </xf>
    <xf numFmtId="0" fontId="0" fillId="6" borderId="18" xfId="0" applyFont="1" applyFill="1" applyBorder="1">
      <alignment vertical="center"/>
    </xf>
    <xf numFmtId="185" fontId="9" fillId="6" borderId="19" xfId="85" applyNumberFormat="1" applyFont="1" applyFill="1" applyBorder="1" applyAlignment="1">
      <alignment horizontal="left" vertical="center"/>
    </xf>
    <xf numFmtId="186" fontId="9" fillId="6" borderId="19" xfId="85" applyNumberFormat="1" applyFont="1" applyFill="1" applyBorder="1" applyAlignment="1">
      <alignment horizontal="left" vertical="center"/>
    </xf>
    <xf numFmtId="182" fontId="9" fillId="6" borderId="4" xfId="85" applyNumberFormat="1" applyFont="1" applyFill="1" applyBorder="1" applyAlignment="1">
      <alignment horizontal="right" vertical="center"/>
    </xf>
    <xf numFmtId="182" fontId="0" fillId="6" borderId="2" xfId="0" applyNumberFormat="1" applyFont="1" applyFill="1" applyBorder="1" applyAlignment="1">
      <alignment horizontal="right" vertical="center"/>
    </xf>
    <xf numFmtId="182" fontId="0" fillId="6" borderId="19" xfId="0" applyNumberFormat="1" applyFont="1" applyFill="1" applyBorder="1" applyAlignment="1">
      <alignment horizontal="right" vertical="center"/>
    </xf>
    <xf numFmtId="186" fontId="9" fillId="8" borderId="19" xfId="85" applyNumberFormat="1" applyFont="1" applyFill="1" applyBorder="1" applyAlignment="1">
      <alignment horizontal="left" vertical="center"/>
    </xf>
    <xf numFmtId="182" fontId="9" fillId="8" borderId="4" xfId="85" applyNumberFormat="1" applyFont="1" applyFill="1" applyBorder="1" applyAlignment="1">
      <alignment horizontal="right" vertical="center"/>
    </xf>
    <xf numFmtId="182" fontId="0" fillId="8" borderId="2" xfId="0" applyNumberFormat="1" applyFont="1" applyFill="1" applyBorder="1" applyAlignment="1">
      <alignment horizontal="right" vertical="center"/>
    </xf>
    <xf numFmtId="182" fontId="0" fillId="8" borderId="19" xfId="0" applyNumberFormat="1" applyFont="1" applyFill="1" applyBorder="1" applyAlignment="1">
      <alignment horizontal="right" vertical="center"/>
    </xf>
    <xf numFmtId="182" fontId="9" fillId="8" borderId="19" xfId="85" applyNumberFormat="1" applyFont="1" applyFill="1" applyBorder="1" applyAlignment="1">
      <alignment horizontal="left" vertical="center"/>
    </xf>
    <xf numFmtId="182" fontId="9" fillId="6" borderId="19" xfId="85" applyNumberFormat="1" applyFont="1" applyFill="1" applyBorder="1" applyAlignment="1">
      <alignment horizontal="left" vertical="center"/>
    </xf>
    <xf numFmtId="0" fontId="0" fillId="8" borderId="20" xfId="0" applyFont="1" applyFill="1" applyBorder="1">
      <alignment vertical="center"/>
    </xf>
    <xf numFmtId="185" fontId="9" fillId="8" borderId="21" xfId="85" applyNumberFormat="1" applyFont="1" applyFill="1" applyBorder="1" applyAlignment="1">
      <alignment horizontal="left" vertical="center"/>
    </xf>
    <xf numFmtId="184" fontId="9" fillId="8" borderId="22" xfId="85" applyNumberFormat="1" applyFont="1" applyFill="1" applyBorder="1" applyAlignment="1">
      <alignment horizontal="left" vertical="center"/>
    </xf>
    <xf numFmtId="184" fontId="9" fillId="8" borderId="23" xfId="85" applyNumberFormat="1" applyFont="1" applyFill="1" applyBorder="1" applyAlignment="1">
      <alignment horizontal="right" vertical="center"/>
    </xf>
    <xf numFmtId="184" fontId="0" fillId="8" borderId="21" xfId="0" applyNumberFormat="1" applyFont="1" applyFill="1" applyBorder="1" applyAlignment="1">
      <alignment horizontal="right" vertical="center"/>
    </xf>
    <xf numFmtId="184" fontId="0" fillId="8" borderId="22" xfId="0" applyNumberFormat="1" applyFont="1" applyFill="1" applyBorder="1" applyAlignment="1">
      <alignment horizontal="right" vertical="center"/>
    </xf>
    <xf numFmtId="0" fontId="9" fillId="11" borderId="0" xfId="85" applyFont="1" applyFill="1" applyBorder="1" applyAlignment="1">
      <alignment horizontal="left" vertical="center"/>
    </xf>
    <xf numFmtId="0" fontId="0" fillId="11" borderId="0" xfId="0" applyFill="1" applyBorder="1" applyAlignment="1">
      <alignment vertical="center"/>
    </xf>
    <xf numFmtId="0" fontId="0" fillId="11" borderId="0" xfId="0" applyFill="1">
      <alignment vertical="center"/>
    </xf>
    <xf numFmtId="0" fontId="8" fillId="0" borderId="0" xfId="83" applyFont="1" applyAlignment="1">
      <alignment horizontal="center" vertical="center"/>
    </xf>
    <xf numFmtId="0" fontId="5" fillId="0" borderId="0" xfId="83" applyAlignment="1">
      <alignment horizontal="left"/>
    </xf>
    <xf numFmtId="0" fontId="5" fillId="0" borderId="0" xfId="83" applyAlignment="1">
      <alignment horizontal="left" vertical="center"/>
    </xf>
    <xf numFmtId="0" fontId="13" fillId="5" borderId="15" xfId="83" applyFont="1" applyFill="1" applyBorder="1" applyAlignment="1">
      <alignment horizontal="left"/>
    </xf>
    <xf numFmtId="0" fontId="13" fillId="5" borderId="21" xfId="83" applyFont="1" applyFill="1" applyBorder="1" applyAlignment="1">
      <alignment horizontal="left"/>
    </xf>
    <xf numFmtId="0" fontId="13" fillId="10" borderId="21" xfId="87" applyNumberFormat="1" applyFont="1" applyFill="1" applyBorder="1" applyAlignment="1">
      <alignment horizontal="left" vertical="center"/>
    </xf>
    <xf numFmtId="0" fontId="9" fillId="6" borderId="14" xfId="83" applyFont="1" applyFill="1" applyBorder="1" applyAlignment="1">
      <alignment horizontal="left"/>
    </xf>
    <xf numFmtId="0" fontId="9" fillId="6" borderId="15" xfId="83" applyFont="1" applyFill="1" applyBorder="1" applyAlignment="1">
      <alignment horizontal="left"/>
    </xf>
    <xf numFmtId="184" fontId="9" fillId="6" borderId="15" xfId="93" applyNumberFormat="1" applyFont="1" applyFill="1" applyBorder="1" applyAlignment="1">
      <alignment horizontal="left"/>
    </xf>
    <xf numFmtId="184" fontId="9" fillId="6" borderId="16" xfId="93" applyNumberFormat="1" applyFont="1" applyFill="1" applyBorder="1" applyAlignment="1">
      <alignment horizontal="right"/>
    </xf>
    <xf numFmtId="184" fontId="0" fillId="6" borderId="17" xfId="0" applyNumberFormat="1" applyFont="1" applyFill="1" applyBorder="1" applyAlignment="1">
      <alignment horizontal="right" vertical="center"/>
    </xf>
    <xf numFmtId="0" fontId="9" fillId="8" borderId="18" xfId="83" applyFont="1" applyFill="1" applyBorder="1" applyAlignment="1">
      <alignment horizontal="left"/>
    </xf>
    <xf numFmtId="0" fontId="9" fillId="8" borderId="2" xfId="83" applyFont="1" applyFill="1" applyBorder="1" applyAlignment="1">
      <alignment horizontal="left"/>
    </xf>
    <xf numFmtId="184" fontId="9" fillId="8" borderId="2" xfId="93" applyNumberFormat="1" applyFont="1" applyFill="1" applyBorder="1" applyAlignment="1">
      <alignment horizontal="left"/>
    </xf>
    <xf numFmtId="184" fontId="9" fillId="8" borderId="19" xfId="93" applyNumberFormat="1" applyFont="1" applyFill="1" applyBorder="1" applyAlignment="1">
      <alignment horizontal="right"/>
    </xf>
    <xf numFmtId="184" fontId="9" fillId="8" borderId="4" xfId="93" applyNumberFormat="1" applyFont="1" applyFill="1" applyBorder="1" applyAlignment="1">
      <alignment horizontal="right"/>
    </xf>
    <xf numFmtId="0" fontId="9" fillId="6" borderId="18" xfId="83" applyFont="1" applyFill="1" applyBorder="1" applyAlignment="1">
      <alignment horizontal="left"/>
    </xf>
    <xf numFmtId="0" fontId="9" fillId="6" borderId="2" xfId="83" applyFont="1" applyFill="1" applyBorder="1" applyAlignment="1">
      <alignment horizontal="left"/>
    </xf>
    <xf numFmtId="184" fontId="9" fillId="6" borderId="2" xfId="93" applyNumberFormat="1" applyFont="1" applyFill="1" applyBorder="1" applyAlignment="1">
      <alignment horizontal="left"/>
    </xf>
    <xf numFmtId="184" fontId="9" fillId="6" borderId="19" xfId="93" applyNumberFormat="1" applyFont="1" applyFill="1" applyBorder="1" applyAlignment="1">
      <alignment horizontal="right"/>
    </xf>
    <xf numFmtId="184" fontId="9" fillId="6" borderId="4" xfId="93" applyNumberFormat="1" applyFont="1" applyFill="1" applyBorder="1" applyAlignment="1">
      <alignment horizontal="right"/>
    </xf>
    <xf numFmtId="184" fontId="0" fillId="8" borderId="4" xfId="0" applyNumberFormat="1" applyFont="1" applyFill="1" applyBorder="1" applyAlignment="1">
      <alignment horizontal="right" vertical="center"/>
    </xf>
    <xf numFmtId="184" fontId="0" fillId="6" borderId="4" xfId="0" applyNumberFormat="1" applyFont="1" applyFill="1" applyBorder="1" applyAlignment="1">
      <alignment horizontal="right" vertical="center"/>
    </xf>
    <xf numFmtId="184" fontId="9" fillId="8" borderId="4" xfId="83" applyNumberFormat="1" applyFont="1" applyFill="1" applyBorder="1" applyAlignment="1">
      <alignment horizontal="right"/>
    </xf>
    <xf numFmtId="184" fontId="9" fillId="6" borderId="4" xfId="83" applyNumberFormat="1" applyFont="1" applyFill="1" applyBorder="1" applyAlignment="1">
      <alignment horizontal="right"/>
    </xf>
    <xf numFmtId="0" fontId="9" fillId="6" borderId="20" xfId="83" applyFont="1" applyFill="1" applyBorder="1" applyAlignment="1">
      <alignment horizontal="left"/>
    </xf>
    <xf numFmtId="0" fontId="9" fillId="6" borderId="21" xfId="83" applyFont="1" applyFill="1" applyBorder="1" applyAlignment="1">
      <alignment horizontal="left"/>
    </xf>
    <xf numFmtId="184" fontId="9" fillId="6" borderId="21" xfId="83" applyNumberFormat="1" applyFont="1" applyFill="1" applyBorder="1" applyAlignment="1">
      <alignment horizontal="left"/>
    </xf>
    <xf numFmtId="184" fontId="9" fillId="6" borderId="22" xfId="83" applyNumberFormat="1" applyFont="1" applyFill="1" applyBorder="1" applyAlignment="1">
      <alignment horizontal="right"/>
    </xf>
    <xf numFmtId="184" fontId="9" fillId="6" borderId="23" xfId="83" applyNumberFormat="1" applyFont="1" applyFill="1" applyBorder="1" applyAlignment="1">
      <alignment horizontal="right"/>
    </xf>
    <xf numFmtId="0" fontId="17" fillId="10" borderId="21" xfId="0" applyNumberFormat="1" applyFont="1" applyFill="1" applyBorder="1" applyAlignment="1">
      <alignment horizontal="left" vertical="center"/>
    </xf>
    <xf numFmtId="0" fontId="17" fillId="10" borderId="22" xfId="0" applyNumberFormat="1" applyFont="1" applyFill="1" applyBorder="1" applyAlignment="1">
      <alignment horizontal="left" vertical="center"/>
    </xf>
    <xf numFmtId="0" fontId="0" fillId="0" borderId="0" xfId="0" applyAlignment="1">
      <alignment horizontal="right" vertical="center"/>
    </xf>
    <xf numFmtId="0" fontId="8" fillId="0" borderId="0" xfId="82" applyFont="1" applyAlignment="1">
      <alignment horizontal="left"/>
    </xf>
    <xf numFmtId="0" fontId="8" fillId="0" borderId="0" xfId="82" applyFont="1" applyAlignment="1">
      <alignment horizontal="center"/>
    </xf>
    <xf numFmtId="0" fontId="8" fillId="0" borderId="0" xfId="82" applyFont="1" applyAlignment="1">
      <alignment horizontal="right"/>
    </xf>
    <xf numFmtId="0" fontId="20" fillId="0" borderId="0" xfId="82" applyFont="1" applyAlignment="1">
      <alignment horizontal="left"/>
    </xf>
    <xf numFmtId="0" fontId="20" fillId="0" borderId="0" xfId="82" applyFont="1" applyAlignment="1">
      <alignment horizontal="right"/>
    </xf>
    <xf numFmtId="0" fontId="13" fillId="5" borderId="15" xfId="82" applyFont="1" applyFill="1" applyBorder="1" applyAlignment="1">
      <alignment horizontal="center" vertical="center"/>
    </xf>
    <xf numFmtId="0" fontId="13" fillId="5" borderId="21" xfId="82" applyFont="1" applyFill="1" applyBorder="1" applyAlignment="1">
      <alignment horizontal="center" vertical="center"/>
    </xf>
    <xf numFmtId="0" fontId="13" fillId="10" borderId="21" xfId="87" applyNumberFormat="1" applyFont="1" applyFill="1" applyBorder="1" applyAlignment="1">
      <alignment horizontal="right" vertical="center"/>
    </xf>
    <xf numFmtId="0" fontId="9" fillId="12" borderId="15" xfId="82" applyFont="1" applyFill="1" applyBorder="1" applyAlignment="1">
      <alignment horizontal="left"/>
    </xf>
    <xf numFmtId="184" fontId="9" fillId="12" borderId="16" xfId="94" applyNumberFormat="1" applyFont="1" applyFill="1" applyBorder="1" applyAlignment="1">
      <alignment horizontal="left"/>
    </xf>
    <xf numFmtId="184" fontId="9" fillId="12" borderId="17" xfId="94" applyNumberFormat="1" applyFont="1" applyFill="1" applyBorder="1" applyAlignment="1">
      <alignment horizontal="left"/>
    </xf>
    <xf numFmtId="184" fontId="9" fillId="13" borderId="15" xfId="94" applyNumberFormat="1" applyFont="1" applyFill="1" applyBorder="1" applyAlignment="1">
      <alignment horizontal="right"/>
    </xf>
    <xf numFmtId="0" fontId="9" fillId="6" borderId="2" xfId="82" applyFont="1" applyFill="1" applyBorder="1" applyAlignment="1">
      <alignment horizontal="left"/>
    </xf>
    <xf numFmtId="184" fontId="9" fillId="6" borderId="19" xfId="94" applyNumberFormat="1" applyFont="1" applyFill="1" applyBorder="1" applyAlignment="1">
      <alignment horizontal="left"/>
    </xf>
    <xf numFmtId="184" fontId="9" fillId="6" borderId="4" xfId="94" applyNumberFormat="1" applyFont="1" applyFill="1" applyBorder="1" applyAlignment="1">
      <alignment horizontal="left"/>
    </xf>
    <xf numFmtId="184" fontId="9" fillId="6" borderId="2" xfId="94" applyNumberFormat="1" applyFont="1" applyFill="1" applyBorder="1" applyAlignment="1">
      <alignment horizontal="right"/>
    </xf>
    <xf numFmtId="0" fontId="9" fillId="8" borderId="2" xfId="82" applyFont="1" applyFill="1" applyBorder="1" applyAlignment="1">
      <alignment horizontal="left"/>
    </xf>
    <xf numFmtId="2" fontId="9" fillId="8" borderId="2" xfId="82" applyNumberFormat="1" applyFont="1" applyFill="1" applyBorder="1" applyAlignment="1">
      <alignment horizontal="left"/>
    </xf>
    <xf numFmtId="184" fontId="9" fillId="8" borderId="19" xfId="94" applyNumberFormat="1" applyFont="1" applyFill="1" applyBorder="1" applyAlignment="1">
      <alignment horizontal="left"/>
    </xf>
    <xf numFmtId="184" fontId="9" fillId="8" borderId="4" xfId="94" applyNumberFormat="1" applyFont="1" applyFill="1" applyBorder="1" applyAlignment="1">
      <alignment horizontal="left"/>
    </xf>
    <xf numFmtId="184" fontId="9" fillId="8" borderId="2" xfId="94" applyNumberFormat="1" applyFont="1" applyFill="1" applyBorder="1" applyAlignment="1">
      <alignment horizontal="right"/>
    </xf>
    <xf numFmtId="2" fontId="9" fillId="6" borderId="2" xfId="82" applyNumberFormat="1" applyFont="1" applyFill="1" applyBorder="1" applyAlignment="1">
      <alignment horizontal="left"/>
    </xf>
    <xf numFmtId="184" fontId="9" fillId="8" borderId="2" xfId="82" applyNumberFormat="1" applyFont="1" applyFill="1" applyBorder="1" applyAlignment="1">
      <alignment horizontal="left"/>
    </xf>
    <xf numFmtId="0" fontId="0" fillId="0" borderId="38" xfId="0" applyBorder="1">
      <alignment vertical="center"/>
    </xf>
    <xf numFmtId="0" fontId="9" fillId="12" borderId="2" xfId="82" applyFont="1" applyFill="1" applyBorder="1" applyAlignment="1">
      <alignment horizontal="left"/>
    </xf>
    <xf numFmtId="184" fontId="9" fillId="12" borderId="19" xfId="94" applyNumberFormat="1" applyFont="1" applyFill="1" applyBorder="1" applyAlignment="1">
      <alignment horizontal="left"/>
    </xf>
    <xf numFmtId="184" fontId="9" fillId="12" borderId="4" xfId="94" applyNumberFormat="1" applyFont="1" applyFill="1" applyBorder="1" applyAlignment="1">
      <alignment horizontal="left"/>
    </xf>
    <xf numFmtId="184" fontId="9" fillId="13" borderId="2" xfId="94" applyNumberFormat="1" applyFont="1" applyFill="1" applyBorder="1" applyAlignment="1">
      <alignment horizontal="right"/>
    </xf>
    <xf numFmtId="184" fontId="9" fillId="8" borderId="19" xfId="82" applyNumberFormat="1" applyFont="1" applyFill="1" applyBorder="1" applyAlignment="1">
      <alignment horizontal="left"/>
    </xf>
    <xf numFmtId="184" fontId="9" fillId="8" borderId="4" xfId="82" applyNumberFormat="1" applyFont="1" applyFill="1" applyBorder="1" applyAlignment="1">
      <alignment horizontal="left"/>
    </xf>
    <xf numFmtId="184" fontId="9" fillId="8" borderId="2" xfId="82" applyNumberFormat="1" applyFont="1" applyFill="1" applyBorder="1" applyAlignment="1">
      <alignment horizontal="right"/>
    </xf>
    <xf numFmtId="184" fontId="9" fillId="6" borderId="19" xfId="82" applyNumberFormat="1" applyFont="1" applyFill="1" applyBorder="1" applyAlignment="1">
      <alignment horizontal="left"/>
    </xf>
    <xf numFmtId="184" fontId="9" fillId="6" borderId="4" xfId="82" applyNumberFormat="1" applyFont="1" applyFill="1" applyBorder="1" applyAlignment="1">
      <alignment horizontal="left"/>
    </xf>
    <xf numFmtId="184" fontId="9" fillId="6" borderId="2" xfId="82" applyNumberFormat="1" applyFont="1" applyFill="1" applyBorder="1" applyAlignment="1">
      <alignment horizontal="right"/>
    </xf>
    <xf numFmtId="0" fontId="9" fillId="12" borderId="2" xfId="82" applyFont="1" applyFill="1" applyBorder="1" applyAlignment="1">
      <alignment horizontal="left" wrapText="1"/>
    </xf>
    <xf numFmtId="10" fontId="9" fillId="12" borderId="19" xfId="94" applyNumberFormat="1" applyFont="1" applyFill="1" applyBorder="1" applyAlignment="1">
      <alignment horizontal="left"/>
    </xf>
    <xf numFmtId="10" fontId="9" fillId="12" borderId="4" xfId="94" applyNumberFormat="1" applyFont="1" applyFill="1" applyBorder="1" applyAlignment="1">
      <alignment horizontal="left"/>
    </xf>
    <xf numFmtId="10" fontId="9" fillId="13" borderId="2" xfId="94" applyNumberFormat="1" applyFont="1" applyFill="1" applyBorder="1" applyAlignment="1">
      <alignment horizontal="right"/>
    </xf>
    <xf numFmtId="2" fontId="9" fillId="6" borderId="2" xfId="87" applyNumberFormat="1" applyFont="1" applyFill="1" applyBorder="1" applyAlignment="1">
      <alignment horizontal="left"/>
    </xf>
    <xf numFmtId="184" fontId="9" fillId="6" borderId="19" xfId="86" applyNumberFormat="1" applyFont="1" applyFill="1" applyBorder="1" applyAlignment="1">
      <alignment horizontal="left" vertical="center"/>
    </xf>
    <xf numFmtId="184" fontId="9" fillId="6" borderId="4" xfId="86" applyNumberFormat="1" applyFont="1" applyFill="1" applyBorder="1" applyAlignment="1">
      <alignment horizontal="left" vertical="center"/>
    </xf>
    <xf numFmtId="184" fontId="9" fillId="6" borderId="2" xfId="87" applyNumberFormat="1" applyFont="1" applyFill="1" applyBorder="1" applyAlignment="1">
      <alignment horizontal="right"/>
    </xf>
    <xf numFmtId="2" fontId="9" fillId="8" borderId="2" xfId="87" applyNumberFormat="1" applyFont="1" applyFill="1" applyBorder="1" applyAlignment="1">
      <alignment horizontal="left"/>
    </xf>
    <xf numFmtId="184" fontId="9" fillId="8" borderId="19" xfId="87" applyNumberFormat="1" applyFont="1" applyFill="1" applyBorder="1" applyAlignment="1">
      <alignment horizontal="left"/>
    </xf>
    <xf numFmtId="184" fontId="9" fillId="8" borderId="4" xfId="87" applyNumberFormat="1" applyFont="1" applyFill="1" applyBorder="1" applyAlignment="1">
      <alignment horizontal="left"/>
    </xf>
    <xf numFmtId="184" fontId="9" fillId="8" borderId="2" xfId="87" applyNumberFormat="1" applyFont="1" applyFill="1" applyBorder="1" applyAlignment="1">
      <alignment horizontal="right"/>
    </xf>
    <xf numFmtId="184" fontId="9" fillId="6" borderId="19" xfId="87" applyNumberFormat="1" applyFont="1" applyFill="1" applyBorder="1" applyAlignment="1">
      <alignment horizontal="left"/>
    </xf>
    <xf numFmtId="184" fontId="9" fillId="6" borderId="4" xfId="87" applyNumberFormat="1" applyFont="1" applyFill="1" applyBorder="1" applyAlignment="1">
      <alignment horizontal="left"/>
    </xf>
    <xf numFmtId="184" fontId="9" fillId="8" borderId="19" xfId="86" applyNumberFormat="1" applyFont="1" applyFill="1" applyBorder="1" applyAlignment="1">
      <alignment horizontal="left" vertical="center"/>
    </xf>
    <xf numFmtId="184" fontId="9" fillId="8" borderId="4" xfId="86" applyNumberFormat="1" applyFont="1" applyFill="1" applyBorder="1" applyAlignment="1">
      <alignment horizontal="left" vertical="center"/>
    </xf>
    <xf numFmtId="10" fontId="9" fillId="6" borderId="19" xfId="86" applyNumberFormat="1" applyFont="1" applyFill="1" applyBorder="1" applyAlignment="1">
      <alignment horizontal="left" vertical="center"/>
    </xf>
    <xf numFmtId="10" fontId="9" fillId="6" borderId="4" xfId="86" applyNumberFormat="1" applyFont="1" applyFill="1" applyBorder="1" applyAlignment="1">
      <alignment horizontal="left" vertical="center"/>
    </xf>
    <xf numFmtId="10" fontId="9" fillId="6" borderId="2" xfId="87" applyNumberFormat="1" applyFont="1" applyFill="1" applyBorder="1" applyAlignment="1">
      <alignment horizontal="right"/>
    </xf>
    <xf numFmtId="184" fontId="0" fillId="8" borderId="19" xfId="0" applyNumberFormat="1" applyFill="1" applyBorder="1" applyAlignment="1">
      <alignment horizontal="left" vertical="center"/>
    </xf>
    <xf numFmtId="184" fontId="0" fillId="8" borderId="4" xfId="0" applyNumberFormat="1" applyFill="1" applyBorder="1" applyAlignment="1">
      <alignment horizontal="left" vertical="center"/>
    </xf>
    <xf numFmtId="0" fontId="0" fillId="6" borderId="21" xfId="0" applyFill="1" applyBorder="1" applyAlignment="1">
      <alignment horizontal="left" vertical="center"/>
    </xf>
    <xf numFmtId="0" fontId="0" fillId="6" borderId="22" xfId="0" applyFill="1" applyBorder="1" applyAlignment="1">
      <alignment horizontal="left" vertical="center"/>
    </xf>
    <xf numFmtId="0" fontId="0" fillId="6" borderId="23" xfId="0" applyFill="1" applyBorder="1" applyAlignment="1">
      <alignment horizontal="left" vertical="center"/>
    </xf>
    <xf numFmtId="0" fontId="0" fillId="6" borderId="21" xfId="0" applyNumberFormat="1" applyFont="1" applyFill="1" applyBorder="1" applyAlignment="1">
      <alignment horizontal="right" vertical="center"/>
    </xf>
    <xf numFmtId="0" fontId="17" fillId="0" borderId="0" xfId="0" applyFont="1" applyBorder="1" applyAlignment="1">
      <alignment horizontal="right"/>
    </xf>
    <xf numFmtId="0" fontId="21" fillId="0" borderId="0" xfId="0" applyFont="1" applyAlignment="1">
      <alignment horizontal="left" vertical="center"/>
    </xf>
    <xf numFmtId="0" fontId="17" fillId="10" borderId="21" xfId="0" applyNumberFormat="1" applyFont="1" applyFill="1" applyBorder="1" applyAlignment="1">
      <alignment horizontal="right" vertical="center"/>
    </xf>
    <xf numFmtId="10" fontId="0" fillId="13" borderId="2" xfId="0" applyNumberFormat="1" applyFont="1" applyFill="1" applyBorder="1" applyAlignment="1">
      <alignment horizontal="right"/>
    </xf>
    <xf numFmtId="184" fontId="0" fillId="8" borderId="2" xfId="0" applyNumberFormat="1" applyFont="1" applyFill="1" applyBorder="1" applyAlignment="1">
      <alignment horizontal="right"/>
    </xf>
    <xf numFmtId="184" fontId="0" fillId="6" borderId="2" xfId="0" applyNumberFormat="1" applyFont="1" applyFill="1" applyBorder="1" applyAlignment="1">
      <alignment horizontal="right"/>
    </xf>
    <xf numFmtId="10" fontId="0" fillId="6" borderId="2" xfId="0" applyNumberFormat="1" applyFont="1" applyFill="1" applyBorder="1" applyAlignment="1">
      <alignment horizontal="right"/>
    </xf>
    <xf numFmtId="0" fontId="17" fillId="10" borderId="22" xfId="0" applyNumberFormat="1" applyFont="1" applyFill="1" applyBorder="1" applyAlignment="1">
      <alignment horizontal="right" vertical="center"/>
    </xf>
    <xf numFmtId="10" fontId="0" fillId="13" borderId="19" xfId="0" applyNumberFormat="1" applyFont="1" applyFill="1" applyBorder="1" applyAlignment="1">
      <alignment horizontal="right"/>
    </xf>
    <xf numFmtId="184" fontId="0" fillId="8" borderId="19" xfId="0" applyNumberFormat="1" applyFont="1" applyFill="1" applyBorder="1" applyAlignment="1">
      <alignment horizontal="right"/>
    </xf>
    <xf numFmtId="184" fontId="0" fillId="6" borderId="19" xfId="0" applyNumberFormat="1" applyFont="1" applyFill="1" applyBorder="1" applyAlignment="1">
      <alignment horizontal="right"/>
    </xf>
    <xf numFmtId="10" fontId="0" fillId="6" borderId="19" xfId="0" applyNumberFormat="1" applyFont="1" applyFill="1" applyBorder="1" applyAlignment="1">
      <alignment horizontal="right"/>
    </xf>
    <xf numFmtId="0" fontId="0" fillId="0" borderId="0" xfId="0" applyAlignment="1">
      <alignment horizontal="left"/>
    </xf>
    <xf numFmtId="0" fontId="0" fillId="0" borderId="35" xfId="0" applyBorder="1" applyAlignment="1">
      <alignment horizontal="left" vertical="center"/>
    </xf>
    <xf numFmtId="0" fontId="0" fillId="0" borderId="37" xfId="0" applyBorder="1" applyAlignment="1">
      <alignment horizontal="left" vertical="center"/>
    </xf>
    <xf numFmtId="0" fontId="23" fillId="10" borderId="21" xfId="88" applyNumberFormat="1" applyFont="1" applyFill="1" applyBorder="1" applyAlignment="1">
      <alignment horizontal="center" vertical="center"/>
    </xf>
    <xf numFmtId="0" fontId="9" fillId="12" borderId="15" xfId="88" applyFont="1" applyFill="1" applyBorder="1" applyAlignment="1">
      <alignment horizontal="left"/>
    </xf>
    <xf numFmtId="2" fontId="9" fillId="12" borderId="15" xfId="88" applyNumberFormat="1" applyFont="1" applyFill="1" applyBorder="1" applyAlignment="1">
      <alignment horizontal="left"/>
    </xf>
    <xf numFmtId="184" fontId="9" fillId="12" borderId="16" xfId="88" applyNumberFormat="1" applyFont="1" applyFill="1" applyBorder="1" applyAlignment="1">
      <alignment horizontal="left"/>
    </xf>
    <xf numFmtId="184" fontId="9" fillId="13" borderId="17" xfId="88" applyNumberFormat="1" applyFont="1" applyFill="1" applyBorder="1" applyAlignment="1">
      <alignment horizontal="left"/>
    </xf>
    <xf numFmtId="184" fontId="9" fillId="13" borderId="15" xfId="88" applyNumberFormat="1" applyFont="1" applyFill="1" applyBorder="1" applyAlignment="1">
      <alignment horizontal="left"/>
    </xf>
    <xf numFmtId="0" fontId="0" fillId="6" borderId="38" xfId="0" applyFill="1" applyBorder="1" applyAlignment="1">
      <alignment horizontal="left" vertical="center"/>
    </xf>
    <xf numFmtId="0" fontId="9" fillId="6" borderId="2" xfId="88" applyFont="1" applyFill="1" applyBorder="1" applyAlignment="1">
      <alignment horizontal="left"/>
    </xf>
    <xf numFmtId="2" fontId="9" fillId="6" borderId="2" xfId="88" applyNumberFormat="1" applyFont="1" applyFill="1" applyBorder="1" applyAlignment="1">
      <alignment horizontal="left"/>
    </xf>
    <xf numFmtId="184" fontId="9" fillId="6" borderId="19" xfId="88" applyNumberFormat="1" applyFont="1" applyFill="1" applyBorder="1" applyAlignment="1">
      <alignment horizontal="left"/>
    </xf>
    <xf numFmtId="184" fontId="9" fillId="6" borderId="4" xfId="88" applyNumberFormat="1" applyFont="1" applyFill="1" applyBorder="1" applyAlignment="1">
      <alignment horizontal="left"/>
    </xf>
    <xf numFmtId="184" fontId="9" fillId="6" borderId="2" xfId="88" applyNumberFormat="1" applyFont="1" applyFill="1" applyBorder="1" applyAlignment="1">
      <alignment horizontal="left"/>
    </xf>
    <xf numFmtId="0" fontId="0" fillId="8" borderId="38" xfId="0" applyFill="1" applyBorder="1" applyAlignment="1">
      <alignment horizontal="left" vertical="center"/>
    </xf>
    <xf numFmtId="0" fontId="9" fillId="8" borderId="2" xfId="88" applyFont="1" applyFill="1" applyBorder="1" applyAlignment="1">
      <alignment horizontal="left"/>
    </xf>
    <xf numFmtId="2" fontId="9" fillId="8" borderId="2" xfId="88" applyNumberFormat="1" applyFont="1" applyFill="1" applyBorder="1" applyAlignment="1">
      <alignment horizontal="left"/>
    </xf>
    <xf numFmtId="184" fontId="9" fillId="8" borderId="19" xfId="88" applyNumberFormat="1" applyFont="1" applyFill="1" applyBorder="1" applyAlignment="1">
      <alignment horizontal="left"/>
    </xf>
    <xf numFmtId="184" fontId="9" fillId="8" borderId="4" xfId="88" applyNumberFormat="1" applyFont="1" applyFill="1" applyBorder="1" applyAlignment="1">
      <alignment horizontal="left"/>
    </xf>
    <xf numFmtId="184" fontId="9" fillId="8" borderId="2" xfId="88" applyNumberFormat="1" applyFont="1" applyFill="1" applyBorder="1" applyAlignment="1">
      <alignment horizontal="left"/>
    </xf>
    <xf numFmtId="184" fontId="9" fillId="6" borderId="4" xfId="90" applyNumberFormat="1" applyFont="1" applyFill="1" applyBorder="1" applyAlignment="1">
      <alignment horizontal="left" vertical="center"/>
    </xf>
    <xf numFmtId="184" fontId="9" fillId="6" borderId="2" xfId="90" applyNumberFormat="1" applyFont="1" applyFill="1" applyBorder="1" applyAlignment="1">
      <alignment horizontal="left" vertical="center"/>
    </xf>
    <xf numFmtId="184" fontId="9" fillId="8" borderId="4" xfId="90" applyNumberFormat="1" applyFont="1" applyFill="1" applyBorder="1" applyAlignment="1">
      <alignment horizontal="left" vertical="center"/>
    </xf>
    <xf numFmtId="184" fontId="9" fillId="8" borderId="2" xfId="90" applyNumberFormat="1" applyFont="1" applyFill="1" applyBorder="1" applyAlignment="1">
      <alignment horizontal="left" vertical="center"/>
    </xf>
    <xf numFmtId="184" fontId="9" fillId="6" borderId="4" xfId="90" applyNumberFormat="1" applyFont="1" applyFill="1" applyBorder="1" applyAlignment="1">
      <alignment horizontal="left"/>
    </xf>
    <xf numFmtId="184" fontId="9" fillId="6" borderId="2" xfId="90" applyNumberFormat="1" applyFont="1" applyFill="1" applyBorder="1" applyAlignment="1">
      <alignment horizontal="left"/>
    </xf>
    <xf numFmtId="0" fontId="0" fillId="0" borderId="38" xfId="0" applyBorder="1" applyAlignment="1">
      <alignment horizontal="left" vertical="center"/>
    </xf>
    <xf numFmtId="0" fontId="13" fillId="12" borderId="2" xfId="88" applyFont="1" applyFill="1" applyBorder="1" applyAlignment="1">
      <alignment horizontal="left"/>
    </xf>
    <xf numFmtId="2" fontId="9" fillId="12" borderId="2" xfId="88" applyNumberFormat="1" applyFont="1" applyFill="1" applyBorder="1" applyAlignment="1">
      <alignment horizontal="left"/>
    </xf>
    <xf numFmtId="184" fontId="9" fillId="12" borderId="19" xfId="88" applyNumberFormat="1" applyFont="1" applyFill="1" applyBorder="1" applyAlignment="1">
      <alignment horizontal="left"/>
    </xf>
    <xf numFmtId="184" fontId="9" fillId="13" borderId="4" xfId="88" applyNumberFormat="1" applyFont="1" applyFill="1" applyBorder="1" applyAlignment="1">
      <alignment horizontal="left"/>
    </xf>
    <xf numFmtId="184" fontId="9" fillId="13" borderId="2" xfId="88" applyNumberFormat="1" applyFont="1" applyFill="1" applyBorder="1" applyAlignment="1">
      <alignment horizontal="left"/>
    </xf>
    <xf numFmtId="10" fontId="9" fillId="6" borderId="19" xfId="88" applyNumberFormat="1" applyFont="1" applyFill="1" applyBorder="1" applyAlignment="1">
      <alignment horizontal="left"/>
    </xf>
    <xf numFmtId="10" fontId="9" fillId="6" borderId="4" xfId="88" applyNumberFormat="1" applyFont="1" applyFill="1" applyBorder="1" applyAlignment="1">
      <alignment horizontal="left"/>
    </xf>
    <xf numFmtId="10" fontId="9" fillId="6" borderId="2" xfId="88" applyNumberFormat="1" applyFont="1" applyFill="1" applyBorder="1" applyAlignment="1">
      <alignment horizontal="left"/>
    </xf>
    <xf numFmtId="184" fontId="0" fillId="8" borderId="19" xfId="0" applyNumberFormat="1" applyFont="1" applyFill="1" applyBorder="1" applyAlignment="1">
      <alignment horizontal="left" vertical="center"/>
    </xf>
    <xf numFmtId="184" fontId="0" fillId="8" borderId="4" xfId="0" applyNumberFormat="1" applyFont="1" applyFill="1" applyBorder="1" applyAlignment="1">
      <alignment horizontal="left" vertical="center"/>
    </xf>
    <xf numFmtId="184" fontId="0" fillId="8" borderId="2" xfId="0" applyNumberFormat="1" applyFont="1" applyFill="1" applyBorder="1" applyAlignment="1">
      <alignment horizontal="left" vertical="center"/>
    </xf>
    <xf numFmtId="184" fontId="0" fillId="6" borderId="19" xfId="0" applyNumberFormat="1" applyFont="1" applyFill="1" applyBorder="1" applyAlignment="1">
      <alignment horizontal="left" vertical="center"/>
    </xf>
    <xf numFmtId="184" fontId="0" fillId="6" borderId="4" xfId="0" applyNumberFormat="1" applyFont="1" applyFill="1" applyBorder="1" applyAlignment="1">
      <alignment horizontal="left" vertical="center"/>
    </xf>
    <xf numFmtId="184" fontId="0" fillId="6" borderId="2" xfId="0" applyNumberFormat="1" applyFont="1" applyFill="1" applyBorder="1" applyAlignment="1">
      <alignment horizontal="left" vertical="center"/>
    </xf>
    <xf numFmtId="0" fontId="0" fillId="8" borderId="37" xfId="0" applyFill="1" applyBorder="1" applyAlignment="1">
      <alignment horizontal="left" vertical="center"/>
    </xf>
    <xf numFmtId="184" fontId="0" fillId="8" borderId="22" xfId="0" applyNumberFormat="1" applyFont="1" applyFill="1" applyBorder="1" applyAlignment="1">
      <alignment horizontal="left" vertical="center"/>
    </xf>
    <xf numFmtId="184" fontId="0" fillId="8" borderId="23" xfId="0" applyNumberFormat="1" applyFont="1" applyFill="1" applyBorder="1" applyAlignment="1">
      <alignment horizontal="left" vertical="center"/>
    </xf>
    <xf numFmtId="184" fontId="0" fillId="8" borderId="21" xfId="0" applyNumberFormat="1" applyFont="1" applyFill="1" applyBorder="1" applyAlignment="1">
      <alignment horizontal="left" vertical="center"/>
    </xf>
    <xf numFmtId="0" fontId="24" fillId="10" borderId="21" xfId="0" applyNumberFormat="1" applyFont="1" applyFill="1" applyBorder="1" applyAlignment="1">
      <alignment horizontal="center" vertical="center"/>
    </xf>
    <xf numFmtId="10" fontId="0" fillId="6" borderId="2" xfId="0" applyNumberFormat="1" applyFont="1" applyFill="1" applyBorder="1" applyAlignment="1">
      <alignment horizontal="left"/>
    </xf>
    <xf numFmtId="184" fontId="0" fillId="8" borderId="2" xfId="0" applyNumberFormat="1" applyFont="1" applyFill="1" applyBorder="1" applyAlignment="1">
      <alignment horizontal="left"/>
    </xf>
    <xf numFmtId="184" fontId="0" fillId="6" borderId="2" xfId="0" applyNumberFormat="1" applyFont="1" applyFill="1" applyBorder="1" applyAlignment="1">
      <alignment horizontal="left"/>
    </xf>
    <xf numFmtId="0" fontId="24" fillId="10" borderId="22" xfId="0" applyNumberFormat="1" applyFont="1" applyFill="1" applyBorder="1" applyAlignment="1">
      <alignment horizontal="center" vertical="center"/>
    </xf>
    <xf numFmtId="184" fontId="9" fillId="13" borderId="16" xfId="88" applyNumberFormat="1" applyFont="1" applyFill="1" applyBorder="1" applyAlignment="1">
      <alignment horizontal="left"/>
    </xf>
    <xf numFmtId="184" fontId="9" fillId="6" borderId="19" xfId="90" applyNumberFormat="1" applyFont="1" applyFill="1" applyBorder="1" applyAlignment="1">
      <alignment horizontal="left" vertical="center"/>
    </xf>
    <xf numFmtId="184" fontId="9" fillId="8" borderId="19" xfId="90" applyNumberFormat="1" applyFont="1" applyFill="1" applyBorder="1" applyAlignment="1">
      <alignment horizontal="left" vertical="center"/>
    </xf>
    <xf numFmtId="184" fontId="9" fillId="6" borderId="19" xfId="90" applyNumberFormat="1" applyFont="1" applyFill="1" applyBorder="1" applyAlignment="1">
      <alignment horizontal="left"/>
    </xf>
    <xf numFmtId="184" fontId="9" fillId="13" borderId="19" xfId="88" applyNumberFormat="1" applyFont="1" applyFill="1" applyBorder="1" applyAlignment="1">
      <alignment horizontal="left"/>
    </xf>
    <xf numFmtId="10" fontId="0" fillId="6" borderId="19" xfId="0" applyNumberFormat="1" applyFont="1" applyFill="1" applyBorder="1" applyAlignment="1">
      <alignment horizontal="left"/>
    </xf>
    <xf numFmtId="184" fontId="0" fillId="8" borderId="19" xfId="0" applyNumberFormat="1" applyFont="1" applyFill="1" applyBorder="1" applyAlignment="1">
      <alignment horizontal="left"/>
    </xf>
    <xf numFmtId="184" fontId="0" fillId="6" borderId="19" xfId="0" applyNumberFormat="1" applyFont="1" applyFill="1" applyBorder="1" applyAlignment="1">
      <alignment horizontal="left"/>
    </xf>
    <xf numFmtId="0" fontId="17" fillId="10" borderId="21" xfId="0" applyNumberFormat="1" applyFont="1" applyFill="1" applyBorder="1" applyAlignment="1">
      <alignment vertical="center"/>
    </xf>
    <xf numFmtId="0" fontId="0" fillId="12" borderId="14" xfId="0" applyFill="1" applyBorder="1" applyAlignment="1">
      <alignment vertical="center"/>
    </xf>
    <xf numFmtId="0" fontId="0" fillId="12" borderId="15" xfId="0" applyFont="1" applyFill="1" applyBorder="1" applyAlignment="1">
      <alignment vertical="center"/>
    </xf>
    <xf numFmtId="184" fontId="0" fillId="12" borderId="16" xfId="0" applyNumberFormat="1" applyFont="1" applyFill="1" applyBorder="1" applyAlignment="1">
      <alignment vertical="center"/>
    </xf>
    <xf numFmtId="184" fontId="0" fillId="12" borderId="17" xfId="0" applyNumberFormat="1" applyFont="1" applyFill="1" applyBorder="1" applyAlignment="1">
      <alignment vertical="center"/>
    </xf>
    <xf numFmtId="184" fontId="0" fillId="13" borderId="15" xfId="0" applyNumberFormat="1" applyFont="1" applyFill="1" applyBorder="1" applyAlignment="1">
      <alignment vertical="center"/>
    </xf>
    <xf numFmtId="0" fontId="0" fillId="6" borderId="18" xfId="0" applyFill="1" applyBorder="1" applyAlignment="1">
      <alignment vertical="center"/>
    </xf>
    <xf numFmtId="0" fontId="0" fillId="6" borderId="2" xfId="0" applyFont="1" applyFill="1" applyBorder="1" applyAlignment="1">
      <alignment vertical="center"/>
    </xf>
    <xf numFmtId="184" fontId="0" fillId="6" borderId="19" xfId="0" applyNumberFormat="1" applyFont="1" applyFill="1" applyBorder="1" applyAlignment="1">
      <alignment vertical="center"/>
    </xf>
    <xf numFmtId="184" fontId="0" fillId="6" borderId="4" xfId="0" applyNumberFormat="1" applyFont="1" applyFill="1" applyBorder="1" applyAlignment="1">
      <alignment vertical="center"/>
    </xf>
    <xf numFmtId="184" fontId="0" fillId="6" borderId="2" xfId="0" applyNumberFormat="1" applyFont="1" applyFill="1" applyBorder="1" applyAlignment="1">
      <alignment vertical="center"/>
    </xf>
    <xf numFmtId="0" fontId="0" fillId="8" borderId="18" xfId="0" applyFill="1" applyBorder="1" applyAlignment="1">
      <alignment vertical="center"/>
    </xf>
    <xf numFmtId="0" fontId="0" fillId="8" borderId="2" xfId="0" applyFont="1" applyFill="1" applyBorder="1" applyAlignment="1">
      <alignment vertical="center"/>
    </xf>
    <xf numFmtId="184" fontId="0" fillId="8" borderId="19" xfId="0" applyNumberFormat="1" applyFont="1" applyFill="1" applyBorder="1" applyAlignment="1">
      <alignment vertical="center"/>
    </xf>
    <xf numFmtId="184" fontId="0" fillId="8" borderId="4" xfId="0" applyNumberFormat="1" applyFill="1" applyBorder="1" applyAlignment="1">
      <alignment vertical="center"/>
    </xf>
    <xf numFmtId="184" fontId="0" fillId="8" borderId="2" xfId="0" applyNumberFormat="1" applyFont="1" applyFill="1" applyBorder="1" applyAlignment="1">
      <alignment vertical="center"/>
    </xf>
    <xf numFmtId="0" fontId="9" fillId="6" borderId="2" xfId="5" applyFont="1" applyFill="1" applyBorder="1" applyAlignment="1">
      <alignment horizontal="left" vertical="center"/>
    </xf>
    <xf numFmtId="184" fontId="0" fillId="6" borderId="4" xfId="0" applyNumberFormat="1" applyFill="1" applyBorder="1" applyAlignment="1">
      <alignment vertical="center"/>
    </xf>
    <xf numFmtId="0" fontId="9" fillId="8" borderId="2" xfId="5" applyFont="1" applyFill="1" applyBorder="1" applyAlignment="1">
      <alignment horizontal="left" vertical="center"/>
    </xf>
    <xf numFmtId="184" fontId="9" fillId="6" borderId="19" xfId="5" applyNumberFormat="1" applyFont="1" applyFill="1" applyBorder="1" applyAlignment="1">
      <alignment vertical="center"/>
    </xf>
    <xf numFmtId="184" fontId="9" fillId="8" borderId="19" xfId="5" applyNumberFormat="1" applyFont="1" applyFill="1" applyBorder="1" applyAlignment="1">
      <alignment vertical="center"/>
    </xf>
    <xf numFmtId="0" fontId="0" fillId="12" borderId="18" xfId="0" applyFill="1" applyBorder="1" applyAlignment="1">
      <alignment vertical="center"/>
    </xf>
    <xf numFmtId="0" fontId="9" fillId="12" borderId="2" xfId="5" applyFont="1" applyFill="1" applyBorder="1" applyAlignment="1">
      <alignment horizontal="left" vertical="center"/>
    </xf>
    <xf numFmtId="184" fontId="9" fillId="12" borderId="19" xfId="5" applyNumberFormat="1" applyFont="1" applyFill="1" applyBorder="1" applyAlignment="1">
      <alignment vertical="center"/>
    </xf>
    <xf numFmtId="184" fontId="0" fillId="12" borderId="4" xfId="0" applyNumberFormat="1" applyFill="1" applyBorder="1" applyAlignment="1">
      <alignment vertical="center"/>
    </xf>
    <xf numFmtId="184" fontId="0" fillId="13" borderId="2" xfId="0" applyNumberFormat="1" applyFont="1" applyFill="1" applyBorder="1" applyAlignment="1">
      <alignment vertical="center"/>
    </xf>
    <xf numFmtId="0" fontId="9" fillId="8" borderId="2" xfId="5" applyFont="1" applyFill="1" applyBorder="1" applyAlignment="1">
      <alignment vertical="center"/>
    </xf>
    <xf numFmtId="0" fontId="9" fillId="6" borderId="2" xfId="5" applyFont="1" applyFill="1" applyBorder="1" applyAlignment="1">
      <alignment vertical="center"/>
    </xf>
    <xf numFmtId="0" fontId="9" fillId="12" borderId="2" xfId="5" applyFont="1" applyFill="1" applyBorder="1" applyAlignment="1">
      <alignment vertical="center"/>
    </xf>
    <xf numFmtId="2" fontId="9" fillId="8" borderId="2" xfId="0" applyNumberFormat="1" applyFont="1" applyFill="1" applyBorder="1" applyAlignment="1">
      <alignment horizontal="left"/>
    </xf>
    <xf numFmtId="184" fontId="9" fillId="8" borderId="19" xfId="0" applyNumberFormat="1" applyFont="1" applyFill="1" applyBorder="1" applyAlignment="1"/>
    <xf numFmtId="2" fontId="9" fillId="6" borderId="2" xfId="0" applyNumberFormat="1" applyFont="1" applyFill="1" applyBorder="1" applyAlignment="1">
      <alignment horizontal="left"/>
    </xf>
    <xf numFmtId="184" fontId="9" fillId="6" borderId="19" xfId="0" applyNumberFormat="1" applyFont="1" applyFill="1" applyBorder="1" applyAlignment="1"/>
    <xf numFmtId="0" fontId="9" fillId="12" borderId="2" xfId="0" applyFont="1" applyFill="1" applyBorder="1" applyAlignment="1"/>
    <xf numFmtId="184" fontId="9" fillId="12" borderId="19" xfId="0" applyNumberFormat="1" applyFont="1" applyFill="1" applyBorder="1" applyAlignment="1"/>
    <xf numFmtId="2" fontId="9" fillId="6" borderId="2" xfId="89" applyNumberFormat="1" applyFont="1" applyFill="1" applyBorder="1" applyAlignment="1">
      <alignment horizontal="left"/>
    </xf>
    <xf numFmtId="2" fontId="9" fillId="8" borderId="2" xfId="89" applyNumberFormat="1" applyFont="1" applyFill="1" applyBorder="1" applyAlignment="1">
      <alignment horizontal="left"/>
    </xf>
    <xf numFmtId="184" fontId="0" fillId="6" borderId="0" xfId="0" applyNumberFormat="1" applyFill="1" applyBorder="1" applyAlignment="1">
      <alignment vertical="center"/>
    </xf>
    <xf numFmtId="184" fontId="0" fillId="8" borderId="0" xfId="0" applyNumberFormat="1" applyFill="1" applyBorder="1" applyAlignment="1">
      <alignment vertical="center"/>
    </xf>
    <xf numFmtId="0" fontId="9" fillId="8" borderId="2" xfId="86" applyFont="1" applyFill="1" applyBorder="1" applyAlignment="1">
      <alignment vertical="center"/>
    </xf>
    <xf numFmtId="10" fontId="0" fillId="8" borderId="19" xfId="0" applyNumberFormat="1" applyFont="1" applyFill="1" applyBorder="1" applyAlignment="1">
      <alignment vertical="center"/>
    </xf>
    <xf numFmtId="0" fontId="0" fillId="8" borderId="0" xfId="0" applyFill="1" applyBorder="1" applyAlignment="1">
      <alignment vertical="center"/>
    </xf>
    <xf numFmtId="0" fontId="0" fillId="8" borderId="2" xfId="0" applyNumberFormat="1" applyFont="1" applyFill="1" applyBorder="1" applyAlignment="1">
      <alignment vertical="center"/>
    </xf>
    <xf numFmtId="0" fontId="9" fillId="6" borderId="2" xfId="86" applyFont="1" applyFill="1" applyBorder="1" applyAlignment="1">
      <alignment vertical="center"/>
    </xf>
    <xf numFmtId="10" fontId="0" fillId="6" borderId="19" xfId="0" applyNumberFormat="1" applyFont="1" applyFill="1" applyBorder="1" applyAlignment="1">
      <alignment vertical="center"/>
    </xf>
    <xf numFmtId="0" fontId="0" fillId="6" borderId="0" xfId="0" applyFill="1" applyBorder="1" applyAlignment="1">
      <alignment vertical="center"/>
    </xf>
    <xf numFmtId="0" fontId="0" fillId="6" borderId="2" xfId="0" applyNumberFormat="1" applyFont="1" applyFill="1" applyBorder="1" applyAlignment="1">
      <alignment vertical="center"/>
    </xf>
    <xf numFmtId="0" fontId="0" fillId="8" borderId="18" xfId="0" applyFill="1" applyBorder="1">
      <alignment vertical="center"/>
    </xf>
    <xf numFmtId="10" fontId="0" fillId="8" borderId="19" xfId="0" applyNumberFormat="1" applyFill="1" applyBorder="1">
      <alignment vertical="center"/>
    </xf>
    <xf numFmtId="184" fontId="0" fillId="8" borderId="0" xfId="0" applyNumberFormat="1" applyFill="1" applyBorder="1">
      <alignment vertical="center"/>
    </xf>
    <xf numFmtId="0" fontId="0" fillId="6" borderId="18" xfId="0" applyFill="1" applyBorder="1">
      <alignment vertical="center"/>
    </xf>
    <xf numFmtId="10" fontId="0" fillId="6" borderId="19" xfId="0" applyNumberFormat="1" applyFill="1" applyBorder="1">
      <alignment vertical="center"/>
    </xf>
    <xf numFmtId="184" fontId="0" fillId="6" borderId="0" xfId="0" applyNumberFormat="1" applyFill="1" applyBorder="1">
      <alignment vertical="center"/>
    </xf>
    <xf numFmtId="0" fontId="0" fillId="8" borderId="2" xfId="0" applyFill="1" applyBorder="1">
      <alignment vertical="center"/>
    </xf>
    <xf numFmtId="0" fontId="0" fillId="14" borderId="18" xfId="0" applyFill="1" applyBorder="1" applyAlignment="1">
      <alignment vertical="center"/>
    </xf>
    <xf numFmtId="0" fontId="9" fillId="14" borderId="2" xfId="5" applyFont="1" applyFill="1" applyBorder="1" applyAlignment="1">
      <alignment vertical="center"/>
    </xf>
    <xf numFmtId="184" fontId="0" fillId="14" borderId="19" xfId="0" applyNumberFormat="1" applyFill="1" applyBorder="1">
      <alignment vertical="center"/>
    </xf>
    <xf numFmtId="184" fontId="0" fillId="3" borderId="0" xfId="0" applyNumberFormat="1" applyFill="1" applyBorder="1">
      <alignment vertical="center"/>
    </xf>
    <xf numFmtId="0" fontId="0" fillId="11" borderId="2" xfId="0" applyNumberFormat="1" applyFont="1" applyFill="1" applyBorder="1" applyAlignment="1">
      <alignment vertical="center"/>
    </xf>
    <xf numFmtId="2" fontId="9" fillId="14" borderId="2" xfId="87" applyNumberFormat="1" applyFont="1" applyFill="1" applyBorder="1" applyAlignment="1">
      <alignment horizontal="left"/>
    </xf>
    <xf numFmtId="0" fontId="17" fillId="10" borderId="22" xfId="0" applyNumberFormat="1" applyFont="1" applyFill="1" applyBorder="1" applyAlignment="1">
      <alignment vertical="center"/>
    </xf>
    <xf numFmtId="0" fontId="0" fillId="8" borderId="19" xfId="0" applyNumberFormat="1" applyFont="1" applyFill="1" applyBorder="1" applyAlignment="1">
      <alignment vertical="center"/>
    </xf>
    <xf numFmtId="0" fontId="0" fillId="6" borderId="19" xfId="0" applyNumberFormat="1" applyFont="1" applyFill="1" applyBorder="1" applyAlignment="1">
      <alignment vertical="center"/>
    </xf>
    <xf numFmtId="0" fontId="0" fillId="11" borderId="19" xfId="0" applyNumberFormat="1" applyFont="1" applyFill="1" applyBorder="1" applyAlignment="1">
      <alignment vertical="center"/>
    </xf>
    <xf numFmtId="184" fontId="0" fillId="0" borderId="0" xfId="0" applyNumberFormat="1" applyBorder="1">
      <alignment vertical="center"/>
    </xf>
    <xf numFmtId="0" fontId="9" fillId="14" borderId="2" xfId="86" applyFont="1" applyFill="1" applyBorder="1" applyAlignment="1">
      <alignment vertical="center"/>
    </xf>
    <xf numFmtId="10" fontId="0" fillId="14" borderId="19" xfId="0" applyNumberFormat="1" applyFill="1" applyBorder="1">
      <alignment vertical="center"/>
    </xf>
    <xf numFmtId="0" fontId="9" fillId="6" borderId="2" xfId="86" applyFont="1" applyFill="1" applyBorder="1" applyAlignment="1">
      <alignment horizontal="left" vertical="center"/>
    </xf>
    <xf numFmtId="184" fontId="0" fillId="8" borderId="19" xfId="0" applyNumberFormat="1" applyFill="1" applyBorder="1">
      <alignment vertical="center"/>
    </xf>
    <xf numFmtId="0" fontId="0" fillId="6" borderId="46" xfId="0" applyFill="1" applyBorder="1" applyAlignment="1">
      <alignment vertical="center"/>
    </xf>
    <xf numFmtId="2" fontId="9" fillId="6" borderId="6" xfId="87" applyNumberFormat="1" applyFont="1" applyFill="1" applyBorder="1" applyAlignment="1">
      <alignment horizontal="left"/>
    </xf>
    <xf numFmtId="10" fontId="0" fillId="6" borderId="41" xfId="0" applyNumberFormat="1" applyFill="1" applyBorder="1">
      <alignment vertical="center"/>
    </xf>
    <xf numFmtId="0" fontId="0" fillId="8" borderId="46" xfId="0" applyFill="1" applyBorder="1" applyAlignment="1">
      <alignment vertical="center"/>
    </xf>
    <xf numFmtId="2" fontId="9" fillId="8" borderId="6" xfId="87" applyNumberFormat="1" applyFont="1" applyFill="1" applyBorder="1" applyAlignment="1">
      <alignment horizontal="left"/>
    </xf>
    <xf numFmtId="184" fontId="0" fillId="6" borderId="19" xfId="0" applyNumberFormat="1" applyFill="1" applyBorder="1">
      <alignment vertical="center"/>
    </xf>
    <xf numFmtId="0" fontId="0" fillId="6" borderId="20" xfId="0" applyFill="1" applyBorder="1">
      <alignment vertical="center"/>
    </xf>
    <xf numFmtId="2" fontId="9" fillId="6" borderId="21" xfId="87" applyNumberFormat="1" applyFont="1" applyFill="1" applyBorder="1" applyAlignment="1">
      <alignment horizontal="left"/>
    </xf>
    <xf numFmtId="184" fontId="0" fillId="6" borderId="22" xfId="0" applyNumberFormat="1" applyFill="1" applyBorder="1">
      <alignment vertical="center"/>
    </xf>
    <xf numFmtId="184" fontId="0" fillId="6" borderId="47" xfId="0" applyNumberFormat="1" applyFill="1" applyBorder="1">
      <alignment vertical="center"/>
    </xf>
    <xf numFmtId="184" fontId="0" fillId="6" borderId="21" xfId="0" applyNumberFormat="1" applyFont="1" applyFill="1" applyBorder="1" applyAlignment="1">
      <alignment vertical="center"/>
    </xf>
    <xf numFmtId="0" fontId="0" fillId="6" borderId="21" xfId="0" applyNumberFormat="1" applyFont="1" applyFill="1" applyBorder="1" applyAlignment="1">
      <alignment vertical="center"/>
    </xf>
    <xf numFmtId="0" fontId="0" fillId="6" borderId="22" xfId="0" applyNumberFormat="1" applyFont="1" applyFill="1" applyBorder="1" applyAlignment="1">
      <alignment vertical="center"/>
    </xf>
    <xf numFmtId="0" fontId="0" fillId="0" borderId="0" xfId="0" applyFont="1" applyAlignment="1">
      <alignment horizontal="right"/>
    </xf>
    <xf numFmtId="43" fontId="16" fillId="5" borderId="13" xfId="100" applyFont="1" applyFill="1" applyBorder="1" applyAlignment="1">
      <alignment horizontal="center" vertical="center" wrapText="1"/>
    </xf>
    <xf numFmtId="43" fontId="16" fillId="5" borderId="26" xfId="100" applyFont="1" applyFill="1" applyBorder="1" applyAlignment="1">
      <alignment horizontal="center" vertical="center" wrapText="1"/>
    </xf>
    <xf numFmtId="182" fontId="5" fillId="6" borderId="17" xfId="3" applyNumberFormat="1" applyFont="1" applyFill="1" applyBorder="1" applyAlignment="1">
      <alignment horizontal="center" vertical="center"/>
    </xf>
    <xf numFmtId="182" fontId="5" fillId="6" borderId="15" xfId="3" applyNumberFormat="1" applyFont="1" applyFill="1" applyBorder="1" applyAlignment="1">
      <alignment horizontal="center" vertical="center"/>
    </xf>
    <xf numFmtId="182" fontId="5" fillId="6" borderId="16" xfId="3" applyNumberFormat="1" applyFont="1" applyFill="1" applyBorder="1" applyAlignment="1">
      <alignment horizontal="center" vertical="center" wrapText="1"/>
    </xf>
    <xf numFmtId="182" fontId="5" fillId="8" borderId="4" xfId="3" applyNumberFormat="1" applyFont="1" applyFill="1" applyBorder="1" applyAlignment="1">
      <alignment horizontal="center" vertical="center"/>
    </xf>
    <xf numFmtId="182" fontId="5" fillId="8" borderId="8" xfId="3" applyNumberFormat="1" applyFont="1" applyFill="1" applyBorder="1" applyAlignment="1">
      <alignment horizontal="center" vertical="center"/>
    </xf>
    <xf numFmtId="182" fontId="5" fillId="8" borderId="50" xfId="3" applyNumberFormat="1" applyFont="1" applyFill="1" applyBorder="1" applyAlignment="1">
      <alignment horizontal="center" vertical="center" wrapText="1"/>
    </xf>
    <xf numFmtId="43" fontId="5" fillId="15" borderId="4" xfId="100" applyNumberFormat="1" applyFont="1" applyFill="1" applyBorder="1" applyAlignment="1">
      <alignment vertical="center"/>
    </xf>
    <xf numFmtId="43" fontId="5" fillId="15" borderId="2" xfId="100" applyFont="1" applyFill="1" applyBorder="1" applyAlignment="1">
      <alignment vertical="center"/>
    </xf>
    <xf numFmtId="43" fontId="5" fillId="15" borderId="19" xfId="100" applyFont="1" applyFill="1" applyBorder="1" applyAlignment="1">
      <alignment vertical="center"/>
    </xf>
    <xf numFmtId="0" fontId="5" fillId="8" borderId="18" xfId="3" applyNumberFormat="1" applyFont="1" applyFill="1" applyBorder="1" applyAlignment="1">
      <alignment horizontal="right" vertical="center" wrapText="1"/>
    </xf>
    <xf numFmtId="0" fontId="5" fillId="8" borderId="19" xfId="3" applyNumberFormat="1" applyFont="1" applyFill="1" applyBorder="1" applyAlignment="1">
      <alignment horizontal="justify" vertical="center" wrapText="1"/>
    </xf>
    <xf numFmtId="43" fontId="5" fillId="8" borderId="4" xfId="3" applyNumberFormat="1" applyFont="1" applyFill="1" applyBorder="1" applyAlignment="1">
      <alignment vertical="center" wrapText="1"/>
    </xf>
    <xf numFmtId="43" fontId="5" fillId="8" borderId="2" xfId="100" applyFont="1" applyFill="1" applyBorder="1" applyAlignment="1">
      <alignment vertical="center" wrapText="1"/>
    </xf>
    <xf numFmtId="43" fontId="5" fillId="8" borderId="19" xfId="100" applyFont="1" applyFill="1" applyBorder="1" applyAlignment="1">
      <alignment vertical="center" wrapText="1"/>
    </xf>
    <xf numFmtId="0" fontId="5" fillId="6" borderId="18" xfId="3" applyNumberFormat="1" applyFont="1" applyFill="1" applyBorder="1" applyAlignment="1">
      <alignment horizontal="right" vertical="center" wrapText="1"/>
    </xf>
    <xf numFmtId="0" fontId="5" fillId="6" borderId="19" xfId="3" applyNumberFormat="1" applyFont="1" applyFill="1" applyBorder="1" applyAlignment="1">
      <alignment horizontal="justify" vertical="center" wrapText="1"/>
    </xf>
    <xf numFmtId="43" fontId="5" fillId="6" borderId="4" xfId="3" applyNumberFormat="1" applyFont="1" applyFill="1" applyBorder="1" applyAlignment="1">
      <alignment horizontal="center" vertical="center"/>
    </xf>
    <xf numFmtId="43" fontId="5" fillId="6" borderId="2" xfId="100" applyFont="1" applyFill="1" applyBorder="1" applyAlignment="1">
      <alignment vertical="center"/>
    </xf>
    <xf numFmtId="43" fontId="5" fillId="6" borderId="19" xfId="100" applyFont="1" applyFill="1" applyBorder="1" applyAlignment="1" applyProtection="1">
      <alignment vertical="center" wrapText="1"/>
      <protection locked="0"/>
    </xf>
    <xf numFmtId="43" fontId="5" fillId="15" borderId="4" xfId="100" applyNumberFormat="1" applyFont="1" applyFill="1" applyBorder="1" applyAlignment="1">
      <alignment vertical="center" wrapText="1"/>
    </xf>
    <xf numFmtId="43" fontId="5" fillId="15" borderId="2" xfId="100" applyFont="1" applyFill="1" applyBorder="1" applyAlignment="1">
      <alignment vertical="center" wrapText="1"/>
    </xf>
    <xf numFmtId="43" fontId="5" fillId="15" borderId="19" xfId="100" applyFont="1" applyFill="1" applyBorder="1" applyAlignment="1">
      <alignment vertical="center" wrapText="1"/>
    </xf>
    <xf numFmtId="43" fontId="5" fillId="6" borderId="2" xfId="100" applyFont="1" applyFill="1" applyBorder="1" applyAlignment="1">
      <alignment vertical="center" wrapText="1"/>
    </xf>
    <xf numFmtId="43" fontId="5" fillId="6" borderId="19" xfId="100" applyFont="1" applyFill="1" applyBorder="1" applyAlignment="1">
      <alignment vertical="center" wrapText="1"/>
    </xf>
    <xf numFmtId="49" fontId="5" fillId="6" borderId="18" xfId="3" applyNumberFormat="1" applyFont="1" applyFill="1" applyBorder="1" applyAlignment="1">
      <alignment horizontal="center" vertical="center" wrapText="1"/>
    </xf>
    <xf numFmtId="43" fontId="5" fillId="6" borderId="4" xfId="3" applyNumberFormat="1" applyFont="1" applyFill="1" applyBorder="1" applyAlignment="1">
      <alignment vertical="center" wrapText="1"/>
    </xf>
    <xf numFmtId="49" fontId="5" fillId="2" borderId="18" xfId="3" applyNumberFormat="1" applyFont="1" applyFill="1" applyBorder="1" applyAlignment="1">
      <alignment horizontal="center" vertical="center" wrapText="1"/>
    </xf>
    <xf numFmtId="43" fontId="5" fillId="8" borderId="4" xfId="3" applyNumberFormat="1" applyFont="1" applyFill="1" applyBorder="1" applyAlignment="1">
      <alignment horizontal="center" vertical="center"/>
    </xf>
    <xf numFmtId="43" fontId="5" fillId="4" borderId="2" xfId="100" applyFont="1" applyFill="1" applyBorder="1" applyAlignment="1">
      <alignment vertical="center" wrapText="1"/>
    </xf>
    <xf numFmtId="43" fontId="5" fillId="16" borderId="19" xfId="100" applyFont="1" applyFill="1" applyBorder="1" applyAlignment="1" applyProtection="1">
      <alignment vertical="center" wrapText="1"/>
      <protection locked="0"/>
    </xf>
    <xf numFmtId="43" fontId="5" fillId="15" borderId="4" xfId="102" applyNumberFormat="1" applyFont="1" applyFill="1" applyBorder="1" applyAlignment="1">
      <alignment vertical="center" wrapText="1"/>
    </xf>
    <xf numFmtId="43" fontId="5" fillId="15" borderId="2" xfId="102" applyFont="1" applyFill="1" applyBorder="1" applyAlignment="1">
      <alignment vertical="center" wrapText="1"/>
    </xf>
    <xf numFmtId="43" fontId="5" fillId="15" borderId="19" xfId="102" applyFont="1" applyFill="1" applyBorder="1" applyAlignment="1">
      <alignment vertical="center" wrapText="1"/>
    </xf>
    <xf numFmtId="49" fontId="5" fillId="8" borderId="18" xfId="3" applyNumberFormat="1" applyFont="1" applyFill="1" applyBorder="1" applyAlignment="1">
      <alignment horizontal="center" vertical="center" wrapText="1"/>
    </xf>
    <xf numFmtId="43" fontId="5" fillId="8" borderId="4" xfId="3" applyNumberFormat="1" applyFont="1" applyFill="1" applyBorder="1" applyAlignment="1">
      <alignment horizontal="center" vertical="center" wrapText="1"/>
    </xf>
    <xf numFmtId="43" fontId="5" fillId="6" borderId="4" xfId="3" applyNumberFormat="1" applyFont="1" applyFill="1" applyBorder="1" applyAlignment="1">
      <alignment horizontal="center" vertical="center" wrapText="1"/>
    </xf>
    <xf numFmtId="43" fontId="5" fillId="15" borderId="2" xfId="102" applyNumberFormat="1" applyFont="1" applyFill="1" applyBorder="1" applyAlignment="1">
      <alignment vertical="center" wrapText="1"/>
    </xf>
    <xf numFmtId="43" fontId="5" fillId="15" borderId="19" xfId="102" applyNumberFormat="1" applyFont="1" applyFill="1" applyBorder="1" applyAlignment="1">
      <alignment vertical="center" wrapText="1"/>
    </xf>
    <xf numFmtId="10" fontId="5" fillId="6" borderId="4" xfId="3" applyNumberFormat="1" applyFont="1" applyFill="1" applyBorder="1" applyAlignment="1">
      <alignment horizontal="center" vertical="center" wrapText="1"/>
    </xf>
    <xf numFmtId="9" fontId="5" fillId="15" borderId="2" xfId="17" applyFont="1" applyFill="1" applyBorder="1" applyAlignment="1">
      <alignment vertical="center" wrapText="1"/>
    </xf>
    <xf numFmtId="9" fontId="5" fillId="15" borderId="19" xfId="17" applyFont="1" applyFill="1" applyBorder="1" applyAlignment="1">
      <alignment vertical="center" wrapText="1"/>
    </xf>
    <xf numFmtId="10" fontId="5" fillId="8" borderId="4" xfId="3" applyNumberFormat="1" applyFont="1" applyFill="1" applyBorder="1" applyAlignment="1">
      <alignment horizontal="center" vertical="center" wrapText="1"/>
    </xf>
    <xf numFmtId="43" fontId="5" fillId="6" borderId="2" xfId="102" applyFont="1" applyFill="1" applyBorder="1" applyAlignment="1">
      <alignment vertical="center" wrapText="1"/>
    </xf>
    <xf numFmtId="43" fontId="5" fillId="6" borderId="19" xfId="102" applyFont="1" applyFill="1" applyBorder="1" applyAlignment="1">
      <alignment vertical="center" wrapText="1"/>
    </xf>
    <xf numFmtId="0" fontId="0" fillId="8" borderId="37" xfId="0" applyFill="1" applyBorder="1">
      <alignment vertical="center"/>
    </xf>
    <xf numFmtId="0" fontId="0" fillId="8" borderId="53" xfId="0" applyFill="1" applyBorder="1">
      <alignment vertical="center"/>
    </xf>
    <xf numFmtId="43" fontId="0" fillId="8" borderId="47" xfId="0" applyNumberFormat="1" applyFill="1" applyBorder="1">
      <alignment vertical="center"/>
    </xf>
    <xf numFmtId="43" fontId="0" fillId="8" borderId="53" xfId="0" applyNumberFormat="1" applyFill="1" applyBorder="1">
      <alignment vertical="center"/>
    </xf>
    <xf numFmtId="0" fontId="5" fillId="0" borderId="0" xfId="3" applyNumberFormat="1" applyFont="1" applyAlignment="1">
      <alignment vertical="center"/>
    </xf>
    <xf numFmtId="0" fontId="25" fillId="0" borderId="0" xfId="0" applyFont="1" applyAlignment="1">
      <alignment horizontal="left" vertical="center"/>
    </xf>
    <xf numFmtId="0" fontId="0" fillId="0" borderId="2" xfId="0" applyBorder="1" applyAlignment="1">
      <alignment horizontal="center" vertical="center"/>
    </xf>
    <xf numFmtId="0" fontId="0" fillId="17" borderId="0" xfId="0" applyFill="1">
      <alignment vertical="center"/>
    </xf>
    <xf numFmtId="0" fontId="0" fillId="0" borderId="3" xfId="0" applyBorder="1" applyAlignment="1">
      <alignment horizontal="center" vertical="center"/>
    </xf>
    <xf numFmtId="0" fontId="16" fillId="5" borderId="14" xfId="29" applyFont="1" applyFill="1" applyBorder="1" applyAlignment="1">
      <alignment horizontal="center" vertical="center" wrapText="1"/>
    </xf>
    <xf numFmtId="0" fontId="16" fillId="5" borderId="15" xfId="29" applyFont="1" applyFill="1" applyBorder="1" applyAlignment="1">
      <alignment horizontal="center" vertical="center" wrapText="1"/>
    </xf>
    <xf numFmtId="0" fontId="16" fillId="5" borderId="16" xfId="29" applyFont="1" applyFill="1" applyBorder="1" applyAlignment="1">
      <alignment horizontal="center" vertical="center" wrapText="1"/>
    </xf>
    <xf numFmtId="9" fontId="16" fillId="5" borderId="2" xfId="29" applyNumberFormat="1" applyFont="1" applyFill="1" applyBorder="1" applyAlignment="1">
      <alignment horizontal="center" vertical="center" wrapText="1"/>
    </xf>
    <xf numFmtId="49" fontId="16" fillId="5" borderId="19" xfId="29" applyNumberFormat="1" applyFont="1" applyFill="1" applyBorder="1" applyAlignment="1">
      <alignment horizontal="center" vertical="center" wrapText="1"/>
    </xf>
    <xf numFmtId="0" fontId="5" fillId="6" borderId="18" xfId="29" applyFill="1" applyBorder="1" applyAlignment="1">
      <alignment horizontal="center" vertical="center" wrapText="1"/>
    </xf>
    <xf numFmtId="1" fontId="5" fillId="6" borderId="2" xfId="29" applyNumberFormat="1" applyFill="1" applyBorder="1" applyAlignment="1">
      <alignment horizontal="center" vertical="center" wrapText="1"/>
    </xf>
    <xf numFmtId="1" fontId="5" fillId="6" borderId="19" xfId="29" applyNumberFormat="1" applyFill="1" applyBorder="1" applyAlignment="1">
      <alignment horizontal="center" vertical="center" wrapText="1"/>
    </xf>
    <xf numFmtId="0" fontId="0" fillId="0" borderId="0" xfId="0" applyAlignment="1">
      <alignment horizontal="center" vertical="center"/>
    </xf>
    <xf numFmtId="0" fontId="5" fillId="8" borderId="18" xfId="29" applyFill="1" applyBorder="1" applyAlignment="1">
      <alignment horizontal="center" vertical="center" wrapText="1"/>
    </xf>
    <xf numFmtId="1" fontId="5" fillId="8" borderId="2" xfId="29" applyNumberFormat="1" applyFill="1" applyBorder="1" applyAlignment="1">
      <alignment horizontal="center" vertical="center" wrapText="1"/>
    </xf>
    <xf numFmtId="1" fontId="5" fillId="8" borderId="19" xfId="29" applyNumberFormat="1" applyFill="1" applyBorder="1" applyAlignment="1">
      <alignment horizontal="center" vertical="center" wrapText="1"/>
    </xf>
    <xf numFmtId="10" fontId="5" fillId="8" borderId="2" xfId="29" applyNumberFormat="1" applyFill="1" applyBorder="1" applyAlignment="1">
      <alignment horizontal="center" vertical="center" wrapText="1"/>
    </xf>
    <xf numFmtId="10" fontId="5" fillId="8" borderId="19" xfId="29" applyNumberFormat="1" applyFill="1" applyBorder="1" applyAlignment="1">
      <alignment horizontal="center" vertical="center" wrapText="1"/>
    </xf>
    <xf numFmtId="0" fontId="0" fillId="17" borderId="38" xfId="0" applyFill="1" applyBorder="1">
      <alignment vertical="center"/>
    </xf>
    <xf numFmtId="0" fontId="5" fillId="17" borderId="18" xfId="29" applyFill="1" applyBorder="1" applyAlignment="1">
      <alignment horizontal="center" vertical="center" wrapText="1"/>
    </xf>
    <xf numFmtId="10" fontId="5" fillId="17" borderId="2" xfId="29" applyNumberFormat="1" applyFill="1" applyBorder="1" applyAlignment="1">
      <alignment horizontal="center" vertical="center" wrapText="1"/>
    </xf>
    <xf numFmtId="10" fontId="5" fillId="17" borderId="19" xfId="29" applyNumberFormat="1" applyFill="1" applyBorder="1" applyAlignment="1">
      <alignment horizontal="center" vertical="center" wrapText="1"/>
    </xf>
    <xf numFmtId="0" fontId="5" fillId="6" borderId="20" xfId="29" applyFill="1" applyBorder="1" applyAlignment="1">
      <alignment horizontal="center" vertical="center" wrapText="1"/>
    </xf>
    <xf numFmtId="10" fontId="5" fillId="6" borderId="21" xfId="29" applyNumberFormat="1" applyFill="1" applyBorder="1" applyAlignment="1">
      <alignment horizontal="center" vertical="center" wrapText="1"/>
    </xf>
    <xf numFmtId="10" fontId="5" fillId="6" borderId="22" xfId="29" applyNumberFormat="1" applyFill="1" applyBorder="1" applyAlignment="1">
      <alignment horizontal="center" vertical="center" wrapText="1"/>
    </xf>
    <xf numFmtId="0" fontId="0" fillId="6" borderId="0" xfId="0" applyFill="1">
      <alignment vertical="center"/>
    </xf>
    <xf numFmtId="0" fontId="5" fillId="6" borderId="0" xfId="29" applyFill="1" applyAlignment="1">
      <alignment horizontal="center" vertical="center" wrapText="1"/>
    </xf>
    <xf numFmtId="10" fontId="5" fillId="6" borderId="0" xfId="29" applyNumberFormat="1" applyFill="1" applyAlignment="1">
      <alignment horizontal="center" vertical="center" wrapText="1"/>
    </xf>
    <xf numFmtId="0" fontId="16" fillId="5" borderId="54" xfId="29" applyFont="1" applyFill="1" applyBorder="1" applyAlignment="1">
      <alignment horizontal="center" vertical="center" wrapText="1"/>
    </xf>
    <xf numFmtId="182" fontId="16" fillId="5" borderId="8" xfId="29" applyNumberFormat="1" applyFont="1" applyFill="1" applyBorder="1" applyAlignment="1">
      <alignment horizontal="center" vertical="center" wrapText="1"/>
    </xf>
    <xf numFmtId="9" fontId="5" fillId="8" borderId="2" xfId="6" applyNumberFormat="1" applyFont="1" applyFill="1" applyBorder="1" applyAlignment="1" applyProtection="1">
      <alignment horizontal="center" vertical="center" wrapText="1"/>
    </xf>
    <xf numFmtId="10" fontId="5" fillId="8" borderId="2" xfId="6" applyNumberFormat="1" applyFont="1" applyFill="1" applyBorder="1" applyAlignment="1" applyProtection="1">
      <alignment horizontal="center" vertical="center" wrapText="1"/>
    </xf>
    <xf numFmtId="1" fontId="5" fillId="6" borderId="18" xfId="29" applyNumberFormat="1" applyFill="1" applyBorder="1" applyAlignment="1">
      <alignment horizontal="center" vertical="center" wrapText="1"/>
    </xf>
    <xf numFmtId="9" fontId="5" fillId="6" borderId="2" xfId="6" applyNumberFormat="1" applyFont="1" applyFill="1" applyBorder="1" applyAlignment="1" applyProtection="1">
      <alignment horizontal="center" vertical="center" wrapText="1"/>
    </xf>
    <xf numFmtId="9" fontId="5" fillId="6" borderId="2" xfId="29" applyNumberFormat="1" applyFill="1" applyBorder="1" applyAlignment="1">
      <alignment horizontal="center" vertical="center" wrapText="1"/>
    </xf>
    <xf numFmtId="0" fontId="0" fillId="0" borderId="4" xfId="0" applyBorder="1" applyAlignment="1">
      <alignment horizontal="center" vertical="center"/>
    </xf>
    <xf numFmtId="10" fontId="5" fillId="8" borderId="19" xfId="6" applyNumberFormat="1" applyFont="1" applyFill="1" applyBorder="1" applyAlignment="1" applyProtection="1">
      <alignment horizontal="center" vertical="center" wrapText="1"/>
    </xf>
    <xf numFmtId="178" fontId="0" fillId="18" borderId="0" xfId="0" applyNumberFormat="1" applyFill="1" applyAlignment="1">
      <alignment horizontal="center" vertical="center"/>
    </xf>
    <xf numFmtId="182" fontId="0" fillId="0" borderId="0" xfId="0" applyNumberFormat="1" applyAlignment="1">
      <alignment horizontal="center" vertical="center"/>
    </xf>
    <xf numFmtId="0" fontId="1" fillId="0" borderId="0" xfId="87" applyFont="1" applyBorder="1" applyAlignment="1">
      <alignment horizontal="left" vertical="center"/>
    </xf>
    <xf numFmtId="0" fontId="26" fillId="0" borderId="0" xfId="0" applyFont="1" applyAlignment="1">
      <alignment vertical="center"/>
    </xf>
    <xf numFmtId="0" fontId="24" fillId="0" borderId="0" xfId="0" applyFont="1" applyAlignment="1">
      <alignment vertical="center"/>
    </xf>
    <xf numFmtId="0" fontId="26" fillId="0" borderId="0" xfId="0" applyFont="1" applyBorder="1" applyAlignment="1">
      <alignment vertical="center"/>
    </xf>
    <xf numFmtId="10" fontId="24" fillId="0" borderId="0" xfId="6" applyNumberFormat="1" applyFont="1" applyBorder="1" applyAlignment="1">
      <alignment vertical="center"/>
    </xf>
    <xf numFmtId="0" fontId="24" fillId="0" borderId="0" xfId="0" applyFont="1" applyBorder="1" applyAlignment="1">
      <alignment vertical="center"/>
    </xf>
    <xf numFmtId="0" fontId="0" fillId="0" borderId="35" xfId="0" applyFont="1" applyBorder="1" applyAlignment="1">
      <alignment horizontal="left" vertical="center"/>
    </xf>
    <xf numFmtId="0" fontId="0" fillId="0" borderId="37" xfId="0" applyFont="1" applyBorder="1" applyAlignment="1">
      <alignment horizontal="left" vertical="center"/>
    </xf>
    <xf numFmtId="0" fontId="29" fillId="6" borderId="14" xfId="0" applyFont="1" applyFill="1" applyBorder="1" applyAlignment="1">
      <alignment horizontal="left" vertical="center"/>
    </xf>
    <xf numFmtId="0" fontId="30" fillId="19" borderId="15" xfId="5" applyFont="1" applyFill="1" applyBorder="1" applyAlignment="1">
      <alignment horizontal="center" vertical="center"/>
    </xf>
    <xf numFmtId="0" fontId="30" fillId="19" borderId="16" xfId="5" applyFont="1" applyFill="1" applyBorder="1" applyAlignment="1">
      <alignment horizontal="left" vertical="center"/>
    </xf>
    <xf numFmtId="182" fontId="30" fillId="19" borderId="17" xfId="5" applyNumberFormat="1" applyFont="1" applyFill="1" applyBorder="1" applyAlignment="1">
      <alignment horizontal="center" vertical="center"/>
    </xf>
    <xf numFmtId="0" fontId="27" fillId="19" borderId="15" xfId="5" applyFont="1" applyFill="1" applyBorder="1" applyAlignment="1">
      <alignment horizontal="center" vertical="center"/>
    </xf>
    <xf numFmtId="182" fontId="30" fillId="19" borderId="15" xfId="5" applyNumberFormat="1" applyFont="1" applyFill="1" applyBorder="1" applyAlignment="1">
      <alignment horizontal="center" vertical="center"/>
    </xf>
    <xf numFmtId="0" fontId="0" fillId="8" borderId="18" xfId="0" applyFont="1" applyFill="1" applyBorder="1" applyAlignment="1">
      <alignment horizontal="left" vertical="center"/>
    </xf>
    <xf numFmtId="0" fontId="30" fillId="12" borderId="2" xfId="5" applyFont="1" applyFill="1" applyBorder="1" applyAlignment="1">
      <alignment horizontal="center" vertical="center"/>
    </xf>
    <xf numFmtId="0" fontId="30" fillId="12" borderId="19" xfId="5" applyFont="1" applyFill="1" applyBorder="1" applyAlignment="1">
      <alignment horizontal="left" vertical="center"/>
    </xf>
    <xf numFmtId="182" fontId="28" fillId="12" borderId="4" xfId="0" applyNumberFormat="1" applyFont="1" applyFill="1" applyBorder="1" applyAlignment="1">
      <alignment horizontal="center" vertical="center"/>
    </xf>
    <xf numFmtId="182" fontId="30" fillId="12" borderId="2" xfId="5" applyNumberFormat="1" applyFont="1" applyFill="1" applyBorder="1" applyAlignment="1">
      <alignment horizontal="center" vertical="center"/>
    </xf>
    <xf numFmtId="0" fontId="0" fillId="2" borderId="18" xfId="0" applyFont="1" applyFill="1" applyBorder="1" applyAlignment="1">
      <alignment horizontal="left" vertical="center"/>
    </xf>
    <xf numFmtId="0" fontId="30" fillId="6" borderId="2" xfId="5" applyFont="1" applyFill="1" applyBorder="1" applyAlignment="1">
      <alignment horizontal="center" vertical="center"/>
    </xf>
    <xf numFmtId="0" fontId="30" fillId="6" borderId="19" xfId="5" applyFont="1" applyFill="1" applyBorder="1" applyAlignment="1">
      <alignment horizontal="left" vertical="center"/>
    </xf>
    <xf numFmtId="182" fontId="28" fillId="6" borderId="4" xfId="0" applyNumberFormat="1" applyFont="1" applyFill="1" applyBorder="1" applyAlignment="1">
      <alignment horizontal="center" vertical="center"/>
    </xf>
    <xf numFmtId="182" fontId="30" fillId="4" borderId="2" xfId="5" applyNumberFormat="1" applyFont="1" applyFill="1" applyBorder="1" applyAlignment="1">
      <alignment horizontal="center" vertical="center"/>
    </xf>
    <xf numFmtId="182" fontId="30" fillId="6" borderId="2" xfId="5" applyNumberFormat="1" applyFont="1" applyFill="1" applyBorder="1" applyAlignment="1">
      <alignment horizontal="center" vertical="center"/>
    </xf>
    <xf numFmtId="0" fontId="30" fillId="8" borderId="2" xfId="5" applyFont="1" applyFill="1" applyBorder="1" applyAlignment="1">
      <alignment horizontal="center" vertical="center"/>
    </xf>
    <xf numFmtId="0" fontId="30" fillId="8" borderId="19" xfId="5" applyFont="1" applyFill="1" applyBorder="1" applyAlignment="1">
      <alignment horizontal="left" vertical="center"/>
    </xf>
    <xf numFmtId="182" fontId="30" fillId="2" borderId="4" xfId="5" applyNumberFormat="1" applyFont="1" applyFill="1" applyBorder="1" applyAlignment="1">
      <alignment horizontal="center" vertical="center"/>
    </xf>
    <xf numFmtId="0" fontId="30" fillId="4" borderId="2" xfId="5" applyFont="1" applyFill="1" applyBorder="1" applyAlignment="1">
      <alignment horizontal="center" vertical="center"/>
    </xf>
    <xf numFmtId="182" fontId="30" fillId="8" borderId="2" xfId="5" applyNumberFormat="1" applyFont="1" applyFill="1" applyBorder="1" applyAlignment="1">
      <alignment horizontal="center" vertical="center"/>
    </xf>
    <xf numFmtId="182" fontId="30" fillId="2" borderId="4" xfId="5" applyNumberFormat="1" applyFont="1" applyFill="1" applyBorder="1" applyAlignment="1">
      <alignment horizontal="center"/>
    </xf>
    <xf numFmtId="182" fontId="30" fillId="6" borderId="4" xfId="5" applyNumberFormat="1" applyFont="1" applyFill="1" applyBorder="1" applyAlignment="1">
      <alignment horizontal="center" vertical="center"/>
    </xf>
    <xf numFmtId="9" fontId="30" fillId="4" borderId="2" xfId="5" applyNumberFormat="1" applyFont="1" applyFill="1" applyBorder="1" applyAlignment="1">
      <alignment horizontal="center" vertical="center"/>
    </xf>
    <xf numFmtId="182" fontId="28" fillId="8" borderId="4" xfId="0" applyNumberFormat="1" applyFont="1" applyFill="1" applyBorder="1" applyAlignment="1">
      <alignment horizontal="center" vertical="center"/>
    </xf>
    <xf numFmtId="182" fontId="28" fillId="4" borderId="4" xfId="0" applyNumberFormat="1" applyFont="1" applyFill="1" applyBorder="1" applyAlignment="1">
      <alignment horizontal="center" vertical="center"/>
    </xf>
    <xf numFmtId="0" fontId="0" fillId="6" borderId="18" xfId="0" applyFont="1" applyFill="1" applyBorder="1" applyAlignment="1">
      <alignment horizontal="left" vertical="center"/>
    </xf>
    <xf numFmtId="182" fontId="30" fillId="12" borderId="4" xfId="5" applyNumberFormat="1" applyFont="1" applyFill="1" applyBorder="1" applyAlignment="1">
      <alignment horizontal="center" vertical="center"/>
    </xf>
    <xf numFmtId="0" fontId="29" fillId="2" borderId="18" xfId="0" applyFont="1" applyFill="1" applyBorder="1" applyAlignment="1">
      <alignment horizontal="left" vertical="center"/>
    </xf>
    <xf numFmtId="0" fontId="28" fillId="4" borderId="2" xfId="0" applyFont="1" applyFill="1" applyBorder="1" applyAlignment="1">
      <alignment horizontal="center" vertical="center"/>
    </xf>
    <xf numFmtId="182" fontId="28" fillId="4" borderId="2" xfId="0" applyNumberFormat="1" applyFont="1" applyFill="1" applyBorder="1" applyAlignment="1">
      <alignment horizontal="center" vertical="center"/>
    </xf>
    <xf numFmtId="182" fontId="30" fillId="8" borderId="4" xfId="5" applyNumberFormat="1" applyFont="1" applyFill="1" applyBorder="1" applyAlignment="1">
      <alignment horizontal="center" vertical="center"/>
    </xf>
    <xf numFmtId="184" fontId="28" fillId="8" borderId="4" xfId="0" applyNumberFormat="1" applyFont="1" applyFill="1" applyBorder="1" applyAlignment="1">
      <alignment horizontal="center" vertical="center"/>
    </xf>
    <xf numFmtId="9" fontId="28" fillId="4" borderId="2" xfId="0" applyNumberFormat="1" applyFont="1" applyFill="1" applyBorder="1" applyAlignment="1">
      <alignment horizontal="center" vertical="center"/>
    </xf>
    <xf numFmtId="182" fontId="28" fillId="2" borderId="4" xfId="0" applyNumberFormat="1" applyFont="1" applyFill="1" applyBorder="1" applyAlignment="1">
      <alignment horizontal="center" vertical="center"/>
    </xf>
    <xf numFmtId="9" fontId="30" fillId="2" borderId="2" xfId="5" applyNumberFormat="1" applyFont="1" applyFill="1" applyBorder="1" applyAlignment="1">
      <alignment horizontal="center" vertical="center"/>
    </xf>
    <xf numFmtId="182" fontId="24" fillId="0" borderId="0" xfId="0" applyNumberFormat="1" applyFont="1" applyAlignment="1">
      <alignment vertical="center"/>
    </xf>
    <xf numFmtId="184" fontId="9" fillId="19" borderId="15" xfId="5" applyNumberFormat="1" applyFont="1" applyFill="1" applyBorder="1" applyAlignment="1">
      <alignment horizontal="left" vertical="center"/>
    </xf>
    <xf numFmtId="0" fontId="13" fillId="19" borderId="15" xfId="5" applyFont="1" applyFill="1" applyBorder="1" applyAlignment="1">
      <alignment horizontal="left" vertical="center"/>
    </xf>
    <xf numFmtId="182" fontId="9" fillId="19" borderId="15" xfId="5" applyNumberFormat="1" applyFont="1" applyFill="1" applyBorder="1" applyAlignment="1">
      <alignment horizontal="left" vertical="center"/>
    </xf>
    <xf numFmtId="10" fontId="9" fillId="19" borderId="15" xfId="5" applyNumberFormat="1" applyFont="1" applyFill="1" applyBorder="1" applyAlignment="1">
      <alignment horizontal="left" vertical="center"/>
    </xf>
    <xf numFmtId="182" fontId="9" fillId="19" borderId="15" xfId="5" applyNumberFormat="1" applyFont="1" applyFill="1" applyBorder="1" applyAlignment="1">
      <alignment vertical="center" wrapText="1"/>
    </xf>
    <xf numFmtId="10" fontId="9" fillId="19" borderId="15" xfId="5" applyNumberFormat="1" applyFont="1" applyFill="1" applyBorder="1" applyAlignment="1">
      <alignment vertical="center" wrapText="1"/>
    </xf>
    <xf numFmtId="184" fontId="0" fillId="12" borderId="2" xfId="0" applyNumberFormat="1" applyFont="1" applyFill="1" applyBorder="1" applyAlignment="1">
      <alignment horizontal="left" vertical="center"/>
    </xf>
    <xf numFmtId="182" fontId="9" fillId="12" borderId="2" xfId="5" applyNumberFormat="1" applyFont="1" applyFill="1" applyBorder="1" applyAlignment="1">
      <alignment horizontal="left" vertical="center"/>
    </xf>
    <xf numFmtId="184" fontId="9" fillId="12" borderId="2" xfId="5" applyNumberFormat="1" applyFont="1" applyFill="1" applyBorder="1" applyAlignment="1">
      <alignment horizontal="left" vertical="center"/>
    </xf>
    <xf numFmtId="10" fontId="9" fillId="12" borderId="2" xfId="5" applyNumberFormat="1" applyFont="1" applyFill="1" applyBorder="1" applyAlignment="1">
      <alignment horizontal="left" vertical="center"/>
    </xf>
    <xf numFmtId="182" fontId="9" fillId="12" borderId="2" xfId="5" applyNumberFormat="1" applyFont="1" applyFill="1" applyBorder="1" applyAlignment="1">
      <alignment vertical="center" wrapText="1"/>
    </xf>
    <xf numFmtId="10" fontId="9" fillId="12" borderId="2" xfId="5" applyNumberFormat="1" applyFont="1" applyFill="1" applyBorder="1" applyAlignment="1">
      <alignment vertical="center" wrapText="1"/>
    </xf>
    <xf numFmtId="184" fontId="9" fillId="6" borderId="2" xfId="5" applyNumberFormat="1" applyFont="1" applyFill="1" applyBorder="1" applyAlignment="1">
      <alignment horizontal="left" vertical="center"/>
    </xf>
    <xf numFmtId="9" fontId="9" fillId="4" borderId="2" xfId="5" applyNumberFormat="1" applyFont="1" applyFill="1" applyBorder="1" applyAlignment="1">
      <alignment horizontal="left" vertical="center"/>
    </xf>
    <xf numFmtId="182" fontId="9" fillId="6" borderId="2" xfId="5" applyNumberFormat="1" applyFont="1" applyFill="1" applyBorder="1" applyAlignment="1">
      <alignment horizontal="left" vertical="center"/>
    </xf>
    <xf numFmtId="10" fontId="9" fillId="6" borderId="2" xfId="5" applyNumberFormat="1" applyFont="1" applyFill="1" applyBorder="1" applyAlignment="1">
      <alignment horizontal="left" vertical="center"/>
    </xf>
    <xf numFmtId="182" fontId="9" fillId="6" borderId="2" xfId="5" applyNumberFormat="1" applyFont="1" applyFill="1" applyBorder="1" applyAlignment="1">
      <alignment vertical="center" wrapText="1"/>
    </xf>
    <xf numFmtId="10" fontId="9" fillId="6" borderId="2" xfId="5" applyNumberFormat="1" applyFont="1" applyFill="1" applyBorder="1" applyAlignment="1">
      <alignment vertical="center" wrapText="1"/>
    </xf>
    <xf numFmtId="184" fontId="9" fillId="8" borderId="2" xfId="5" applyNumberFormat="1" applyFont="1" applyFill="1" applyBorder="1" applyAlignment="1">
      <alignment horizontal="left" vertical="center"/>
    </xf>
    <xf numFmtId="182" fontId="9" fillId="8" borderId="2" xfId="5" applyNumberFormat="1" applyFont="1" applyFill="1" applyBorder="1" applyAlignment="1">
      <alignment horizontal="left" vertical="center"/>
    </xf>
    <xf numFmtId="10" fontId="9" fillId="8" borderId="2" xfId="5" applyNumberFormat="1" applyFont="1" applyFill="1" applyBorder="1" applyAlignment="1">
      <alignment horizontal="left" vertical="center"/>
    </xf>
    <xf numFmtId="182" fontId="9" fillId="8" borderId="2" xfId="5" applyNumberFormat="1" applyFont="1" applyFill="1" applyBorder="1" applyAlignment="1">
      <alignment vertical="center" wrapText="1"/>
    </xf>
    <xf numFmtId="10" fontId="9" fillId="8" borderId="2" xfId="5" applyNumberFormat="1" applyFont="1" applyFill="1" applyBorder="1" applyAlignment="1">
      <alignment vertical="center" wrapText="1"/>
    </xf>
    <xf numFmtId="0" fontId="9" fillId="4" borderId="2" xfId="5" applyFont="1" applyFill="1" applyBorder="1" applyAlignment="1">
      <alignment horizontal="left" vertical="center"/>
    </xf>
    <xf numFmtId="9" fontId="29" fillId="4" borderId="2" xfId="0" applyNumberFormat="1" applyFont="1" applyFill="1" applyBorder="1" applyAlignment="1">
      <alignment horizontal="left" vertical="center"/>
    </xf>
    <xf numFmtId="0" fontId="29" fillId="4" borderId="2" xfId="0" applyFont="1" applyFill="1" applyBorder="1" applyAlignment="1">
      <alignment horizontal="left" vertical="center"/>
    </xf>
    <xf numFmtId="9" fontId="0" fillId="4" borderId="2" xfId="0" applyNumberFormat="1" applyFont="1" applyFill="1" applyBorder="1" applyAlignment="1">
      <alignment horizontal="left" vertical="center"/>
    </xf>
    <xf numFmtId="182" fontId="0" fillId="6" borderId="2" xfId="0" applyNumberFormat="1" applyFont="1" applyFill="1" applyBorder="1" applyAlignment="1">
      <alignment horizontal="left" vertical="center"/>
    </xf>
    <xf numFmtId="9" fontId="9" fillId="2" borderId="2" xfId="5" applyNumberFormat="1" applyFont="1" applyFill="1" applyBorder="1" applyAlignment="1">
      <alignment horizontal="left" vertical="center"/>
    </xf>
    <xf numFmtId="0" fontId="17" fillId="5" borderId="21" xfId="0" applyFont="1" applyFill="1" applyBorder="1" applyAlignment="1">
      <alignment horizontal="left" vertical="center"/>
    </xf>
    <xf numFmtId="0" fontId="17" fillId="5" borderId="21" xfId="0" applyFont="1" applyFill="1" applyBorder="1" applyAlignment="1">
      <alignment horizontal="left" vertical="center" wrapText="1"/>
    </xf>
    <xf numFmtId="0" fontId="13" fillId="19" borderId="15" xfId="5" applyFont="1" applyFill="1" applyBorder="1" applyAlignment="1">
      <alignment vertical="center" wrapText="1"/>
    </xf>
    <xf numFmtId="184" fontId="0" fillId="19" borderId="15" xfId="0" applyNumberFormat="1" applyFont="1" applyFill="1" applyBorder="1" applyAlignment="1">
      <alignment vertical="center" wrapText="1"/>
    </xf>
    <xf numFmtId="0" fontId="9" fillId="12" borderId="2" xfId="5" applyFont="1" applyFill="1" applyBorder="1" applyAlignment="1">
      <alignment vertical="center" wrapText="1"/>
    </xf>
    <xf numFmtId="184" fontId="0" fillId="12" borderId="2" xfId="0" applyNumberFormat="1" applyFont="1" applyFill="1" applyBorder="1" applyAlignment="1">
      <alignment vertical="center" wrapText="1"/>
    </xf>
    <xf numFmtId="0" fontId="9" fillId="6" borderId="2" xfId="5" applyFont="1" applyFill="1" applyBorder="1" applyAlignment="1">
      <alignment vertical="center" wrapText="1"/>
    </xf>
    <xf numFmtId="184" fontId="0" fillId="6" borderId="2" xfId="0" applyNumberFormat="1" applyFont="1" applyFill="1" applyBorder="1" applyAlignment="1">
      <alignment vertical="center" wrapText="1"/>
    </xf>
    <xf numFmtId="0" fontId="9" fillId="8" borderId="2" xfId="5" applyFont="1" applyFill="1" applyBorder="1" applyAlignment="1">
      <alignment vertical="center" wrapText="1"/>
    </xf>
    <xf numFmtId="184" fontId="0" fillId="8" borderId="2" xfId="0" applyNumberFormat="1" applyFont="1" applyFill="1" applyBorder="1" applyAlignment="1">
      <alignment vertical="center" wrapText="1"/>
    </xf>
    <xf numFmtId="0" fontId="29" fillId="8" borderId="2" xfId="0" applyFont="1" applyFill="1" applyBorder="1" applyAlignment="1">
      <alignment vertical="center" wrapText="1"/>
    </xf>
    <xf numFmtId="9" fontId="29" fillId="6" borderId="2" xfId="0" applyNumberFormat="1" applyFont="1" applyFill="1" applyBorder="1" applyAlignment="1">
      <alignment vertical="center" wrapText="1"/>
    </xf>
    <xf numFmtId="10" fontId="29" fillId="8" borderId="2" xfId="0" applyNumberFormat="1" applyFont="1" applyFill="1" applyBorder="1" applyAlignment="1">
      <alignment vertical="center" wrapText="1"/>
    </xf>
    <xf numFmtId="10" fontId="29" fillId="6" borderId="2" xfId="0" applyNumberFormat="1" applyFont="1" applyFill="1" applyBorder="1" applyAlignment="1">
      <alignment vertical="center" wrapText="1"/>
    </xf>
    <xf numFmtId="0" fontId="29" fillId="6" borderId="2" xfId="0" applyFont="1" applyFill="1" applyBorder="1" applyAlignment="1">
      <alignment vertical="center" wrapText="1"/>
    </xf>
    <xf numFmtId="9" fontId="9" fillId="6" borderId="2" xfId="5" applyNumberFormat="1" applyFont="1" applyFill="1" applyBorder="1" applyAlignment="1">
      <alignment vertical="center" wrapText="1"/>
    </xf>
    <xf numFmtId="0" fontId="0" fillId="8" borderId="2" xfId="0" applyFont="1" applyFill="1" applyBorder="1" applyAlignment="1">
      <alignment vertical="center" wrapText="1"/>
    </xf>
    <xf numFmtId="0" fontId="0" fillId="6" borderId="2" xfId="0" applyFont="1" applyFill="1" applyBorder="1" applyAlignment="1">
      <alignment vertical="center" wrapText="1"/>
    </xf>
    <xf numFmtId="184" fontId="9" fillId="20" borderId="15" xfId="5" applyNumberFormat="1" applyFont="1" applyFill="1" applyBorder="1" applyAlignment="1">
      <alignment horizontal="left" vertical="center"/>
    </xf>
    <xf numFmtId="184" fontId="0" fillId="13" borderId="2" xfId="0" applyNumberFormat="1" applyFont="1" applyFill="1" applyBorder="1" applyAlignment="1">
      <alignment horizontal="left" vertical="center"/>
    </xf>
    <xf numFmtId="184" fontId="9" fillId="13" borderId="2" xfId="5" applyNumberFormat="1" applyFont="1" applyFill="1" applyBorder="1" applyAlignment="1">
      <alignment horizontal="left" vertical="center"/>
    </xf>
    <xf numFmtId="10" fontId="30" fillId="2" borderId="2" xfId="5" applyNumberFormat="1" applyFont="1" applyFill="1" applyBorder="1" applyAlignment="1">
      <alignment horizontal="center" vertical="center"/>
    </xf>
    <xf numFmtId="0" fontId="30" fillId="2" borderId="2" xfId="5" applyFont="1" applyFill="1" applyBorder="1" applyAlignment="1">
      <alignment horizontal="center" vertical="center"/>
    </xf>
    <xf numFmtId="0" fontId="30" fillId="19" borderId="2" xfId="5" applyFont="1" applyFill="1" applyBorder="1" applyAlignment="1">
      <alignment horizontal="center" vertical="center"/>
    </xf>
    <xf numFmtId="0" fontId="30" fillId="19" borderId="19" xfId="5" applyFont="1" applyFill="1" applyBorder="1" applyAlignment="1">
      <alignment horizontal="left" vertical="center"/>
    </xf>
    <xf numFmtId="182" fontId="30" fillId="19" borderId="4" xfId="5" applyNumberFormat="1" applyFont="1" applyFill="1" applyBorder="1" applyAlignment="1">
      <alignment horizontal="center" vertical="center"/>
    </xf>
    <xf numFmtId="182" fontId="30" fillId="19" borderId="2" xfId="5" applyNumberFormat="1" applyFont="1" applyFill="1" applyBorder="1" applyAlignment="1">
      <alignment horizontal="center" vertical="center"/>
    </xf>
    <xf numFmtId="10" fontId="30" fillId="4" borderId="2" xfId="5" applyNumberFormat="1" applyFont="1" applyFill="1" applyBorder="1" applyAlignment="1">
      <alignment horizontal="center" vertical="center"/>
    </xf>
    <xf numFmtId="10" fontId="30" fillId="4" borderId="2" xfId="6" applyNumberFormat="1" applyFont="1" applyFill="1" applyBorder="1" applyAlignment="1" applyProtection="1">
      <alignment horizontal="center" vertical="center"/>
    </xf>
    <xf numFmtId="0" fontId="0" fillId="8" borderId="18" xfId="0" applyFill="1" applyBorder="1" applyAlignment="1">
      <alignment horizontal="left" vertical="center"/>
    </xf>
    <xf numFmtId="0" fontId="30" fillId="8" borderId="2" xfId="5" applyFont="1" applyFill="1" applyBorder="1" applyAlignment="1">
      <alignment horizontal="left" vertical="center"/>
    </xf>
    <xf numFmtId="0" fontId="0" fillId="6" borderId="18" xfId="0" applyFill="1" applyBorder="1" applyAlignment="1">
      <alignment horizontal="left" vertical="center"/>
    </xf>
    <xf numFmtId="0" fontId="30" fillId="6" borderId="2" xfId="5" applyFont="1" applyFill="1" applyBorder="1" applyAlignment="1">
      <alignment horizontal="left" vertical="center"/>
    </xf>
    <xf numFmtId="0" fontId="0" fillId="2" borderId="18" xfId="0" applyFill="1" applyBorder="1" applyAlignment="1">
      <alignment horizontal="left" vertical="center"/>
    </xf>
    <xf numFmtId="9" fontId="30" fillId="19" borderId="2" xfId="5" applyNumberFormat="1" applyFont="1" applyFill="1" applyBorder="1" applyAlignment="1">
      <alignment horizontal="center" vertical="center"/>
    </xf>
    <xf numFmtId="9" fontId="32" fillId="19" borderId="2" xfId="5" applyNumberFormat="1" applyFont="1" applyFill="1" applyBorder="1" applyAlignment="1">
      <alignment horizontal="center" vertical="center"/>
    </xf>
    <xf numFmtId="0" fontId="30" fillId="21" borderId="2" xfId="5" applyFont="1" applyFill="1" applyBorder="1" applyAlignment="1">
      <alignment horizontal="left" vertical="center"/>
    </xf>
    <xf numFmtId="182" fontId="30" fillId="21" borderId="4" xfId="5" applyNumberFormat="1" applyFont="1" applyFill="1" applyBorder="1" applyAlignment="1">
      <alignment horizontal="center" vertical="center"/>
    </xf>
    <xf numFmtId="0" fontId="32" fillId="8" borderId="2" xfId="5" applyFont="1" applyFill="1" applyBorder="1" applyAlignment="1">
      <alignment horizontal="center" vertical="center"/>
    </xf>
    <xf numFmtId="182" fontId="30" fillId="21" borderId="2" xfId="5" applyNumberFormat="1" applyFont="1" applyFill="1" applyBorder="1" applyAlignment="1">
      <alignment horizontal="center" vertical="center"/>
    </xf>
    <xf numFmtId="0" fontId="32" fillId="6" borderId="2" xfId="5" applyFont="1" applyFill="1" applyBorder="1" applyAlignment="1">
      <alignment horizontal="center" vertical="center"/>
    </xf>
    <xf numFmtId="0" fontId="30" fillId="21" borderId="2" xfId="5" applyFont="1" applyFill="1" applyBorder="1" applyAlignment="1">
      <alignment horizontal="center" vertical="center"/>
    </xf>
    <xf numFmtId="0" fontId="30" fillId="21" borderId="19" xfId="5" applyFont="1" applyFill="1" applyBorder="1" applyAlignment="1">
      <alignment horizontal="left" vertical="center"/>
    </xf>
    <xf numFmtId="0" fontId="28" fillId="6" borderId="2" xfId="0" applyFont="1" applyFill="1" applyBorder="1" applyAlignment="1">
      <alignment horizontal="left" vertical="center"/>
    </xf>
    <xf numFmtId="10" fontId="30" fillId="4" borderId="4" xfId="5" applyNumberFormat="1" applyFont="1" applyFill="1" applyBorder="1" applyAlignment="1">
      <alignment horizontal="center" vertical="center"/>
    </xf>
    <xf numFmtId="10" fontId="30" fillId="6" borderId="2" xfId="5" applyNumberFormat="1" applyFont="1" applyFill="1" applyBorder="1" applyAlignment="1">
      <alignment horizontal="center" vertical="center"/>
    </xf>
    <xf numFmtId="10" fontId="30" fillId="8" borderId="2" xfId="5" applyNumberFormat="1" applyFont="1" applyFill="1" applyBorder="1" applyAlignment="1">
      <alignment horizontal="center" vertical="center"/>
    </xf>
    <xf numFmtId="10" fontId="30" fillId="21" borderId="4" xfId="86" applyNumberFormat="1" applyFont="1" applyFill="1" applyBorder="1" applyAlignment="1">
      <alignment horizontal="center" vertical="center"/>
    </xf>
    <xf numFmtId="10" fontId="30" fillId="21" borderId="2" xfId="5" applyNumberFormat="1" applyFont="1" applyFill="1" applyBorder="1" applyAlignment="1">
      <alignment horizontal="center"/>
    </xf>
    <xf numFmtId="10" fontId="30" fillId="21" borderId="2" xfId="5" applyNumberFormat="1" applyFont="1" applyFill="1" applyBorder="1" applyAlignment="1">
      <alignment horizontal="center" vertical="center"/>
    </xf>
    <xf numFmtId="10" fontId="30" fillId="21" borderId="2" xfId="86" applyNumberFormat="1" applyFont="1" applyFill="1" applyBorder="1" applyAlignment="1">
      <alignment horizontal="center" vertical="center"/>
    </xf>
    <xf numFmtId="10" fontId="30" fillId="8" borderId="4" xfId="86" applyNumberFormat="1" applyFont="1" applyFill="1" applyBorder="1" applyAlignment="1">
      <alignment horizontal="center" vertical="center"/>
    </xf>
    <xf numFmtId="10" fontId="30" fillId="8" borderId="2" xfId="86" applyNumberFormat="1" applyFont="1" applyFill="1" applyBorder="1" applyAlignment="1">
      <alignment horizontal="center" vertical="center"/>
    </xf>
    <xf numFmtId="0" fontId="0" fillId="6" borderId="20" xfId="0" applyFill="1" applyBorder="1" applyAlignment="1">
      <alignment horizontal="left" vertical="center"/>
    </xf>
    <xf numFmtId="0" fontId="30" fillId="6" borderId="21" xfId="86" applyFont="1" applyFill="1" applyBorder="1" applyAlignment="1">
      <alignment horizontal="left" vertical="center"/>
    </xf>
    <xf numFmtId="10" fontId="30" fillId="6" borderId="23" xfId="86" applyNumberFormat="1" applyFont="1" applyFill="1" applyBorder="1" applyAlignment="1">
      <alignment horizontal="center" vertical="center"/>
    </xf>
    <xf numFmtId="10" fontId="30" fillId="6" borderId="21" xfId="86" applyNumberFormat="1" applyFont="1" applyFill="1" applyBorder="1" applyAlignment="1">
      <alignment horizontal="center" vertical="center"/>
    </xf>
    <xf numFmtId="0" fontId="0" fillId="0" borderId="0" xfId="0" applyFont="1" applyAlignment="1">
      <alignment horizontal="left" vertical="center"/>
    </xf>
    <xf numFmtId="0" fontId="9" fillId="0" borderId="0" xfId="86" applyFont="1" applyFill="1" applyBorder="1" applyAlignment="1">
      <alignment horizontal="left" vertical="center"/>
    </xf>
    <xf numFmtId="0" fontId="33" fillId="0" borderId="0" xfId="0" applyFont="1" applyFill="1" applyBorder="1" applyAlignment="1">
      <alignment vertical="center"/>
    </xf>
    <xf numFmtId="0" fontId="9" fillId="2" borderId="2" xfId="5" applyFont="1" applyFill="1" applyBorder="1" applyAlignment="1">
      <alignment horizontal="left" vertical="center"/>
    </xf>
    <xf numFmtId="184" fontId="9" fillId="19" borderId="2" xfId="5" applyNumberFormat="1" applyFont="1" applyFill="1" applyBorder="1" applyAlignment="1">
      <alignment horizontal="left" vertical="center"/>
    </xf>
    <xf numFmtId="0" fontId="9" fillId="19" borderId="2" xfId="5" applyFont="1" applyFill="1" applyBorder="1" applyAlignment="1">
      <alignment horizontal="left" vertical="center"/>
    </xf>
    <xf numFmtId="182" fontId="9" fillId="19" borderId="2" xfId="5" applyNumberFormat="1" applyFont="1" applyFill="1" applyBorder="1" applyAlignment="1">
      <alignment horizontal="left" vertical="center"/>
    </xf>
    <xf numFmtId="10" fontId="9" fillId="19" borderId="2" xfId="5" applyNumberFormat="1" applyFont="1" applyFill="1" applyBorder="1" applyAlignment="1">
      <alignment horizontal="left" vertical="center"/>
    </xf>
    <xf numFmtId="182" fontId="9" fillId="19" borderId="2" xfId="5" applyNumberFormat="1" applyFont="1" applyFill="1" applyBorder="1" applyAlignment="1">
      <alignment vertical="center" wrapText="1"/>
    </xf>
    <xf numFmtId="10" fontId="9" fillId="19" borderId="2" xfId="5" applyNumberFormat="1" applyFont="1" applyFill="1" applyBorder="1" applyAlignment="1">
      <alignment vertical="center" wrapText="1"/>
    </xf>
    <xf numFmtId="9" fontId="9" fillId="19" borderId="2" xfId="5" applyNumberFormat="1" applyFont="1" applyFill="1" applyBorder="1" applyAlignment="1">
      <alignment horizontal="left" vertical="center"/>
    </xf>
    <xf numFmtId="9" fontId="9" fillId="6" borderId="2" xfId="5" applyNumberFormat="1" applyFont="1" applyFill="1" applyBorder="1" applyAlignment="1">
      <alignment horizontal="left" vertical="center"/>
    </xf>
    <xf numFmtId="9" fontId="9" fillId="8" borderId="2" xfId="5" applyNumberFormat="1" applyFont="1" applyFill="1" applyBorder="1" applyAlignment="1">
      <alignment horizontal="left" vertical="center"/>
    </xf>
    <xf numFmtId="184" fontId="19" fillId="19" borderId="2" xfId="5" applyNumberFormat="1" applyFont="1" applyFill="1" applyBorder="1" applyAlignment="1">
      <alignment horizontal="left" vertical="center"/>
    </xf>
    <xf numFmtId="9" fontId="19" fillId="19" borderId="2" xfId="5" applyNumberFormat="1" applyFont="1" applyFill="1" applyBorder="1" applyAlignment="1">
      <alignment horizontal="left" vertical="center"/>
    </xf>
    <xf numFmtId="184" fontId="19" fillId="21" borderId="2" xfId="5" applyNumberFormat="1" applyFont="1" applyFill="1" applyBorder="1" applyAlignment="1">
      <alignment horizontal="left" vertical="center"/>
    </xf>
    <xf numFmtId="0" fontId="19" fillId="8" borderId="2" xfId="5" applyFont="1" applyFill="1" applyBorder="1" applyAlignment="1">
      <alignment horizontal="left" vertical="center"/>
    </xf>
    <xf numFmtId="9" fontId="19" fillId="4" borderId="2" xfId="5" applyNumberFormat="1" applyFont="1" applyFill="1" applyBorder="1" applyAlignment="1">
      <alignment horizontal="left" vertical="center"/>
    </xf>
    <xf numFmtId="184" fontId="9" fillId="8" borderId="2" xfId="5" applyNumberFormat="1" applyFont="1" applyFill="1" applyBorder="1" applyAlignment="1">
      <alignment vertical="center" wrapText="1"/>
    </xf>
    <xf numFmtId="184" fontId="9" fillId="21" borderId="2" xfId="5" applyNumberFormat="1" applyFont="1" applyFill="1" applyBorder="1" applyAlignment="1">
      <alignment horizontal="left" vertical="center"/>
    </xf>
    <xf numFmtId="184" fontId="9" fillId="6" borderId="2" xfId="5" applyNumberFormat="1" applyFont="1" applyFill="1" applyBorder="1" applyAlignment="1">
      <alignment vertical="center" wrapText="1"/>
    </xf>
    <xf numFmtId="184" fontId="9" fillId="8" borderId="2" xfId="5" applyNumberFormat="1" applyFont="1" applyFill="1" applyBorder="1" applyAlignment="1">
      <alignment horizontal="left"/>
    </xf>
    <xf numFmtId="0" fontId="9" fillId="8" borderId="2" xfId="5" applyFont="1" applyFill="1" applyBorder="1" applyAlignment="1">
      <alignment horizontal="left"/>
    </xf>
    <xf numFmtId="182" fontId="9" fillId="8" borderId="2" xfId="7" applyNumberFormat="1" applyFont="1" applyFill="1" applyBorder="1" applyAlignment="1">
      <alignment horizontal="left" vertical="center"/>
    </xf>
    <xf numFmtId="184" fontId="9" fillId="8" borderId="2" xfId="86" applyNumberFormat="1" applyFont="1" applyFill="1" applyBorder="1" applyAlignment="1">
      <alignment horizontal="left" vertical="center"/>
    </xf>
    <xf numFmtId="10" fontId="9" fillId="8" borderId="2" xfId="86" applyNumberFormat="1" applyFont="1" applyFill="1" applyBorder="1" applyAlignment="1">
      <alignment horizontal="left" vertical="center"/>
    </xf>
    <xf numFmtId="182" fontId="9" fillId="8" borderId="2" xfId="86" applyNumberFormat="1" applyFont="1" applyFill="1" applyBorder="1" applyAlignment="1">
      <alignment horizontal="left" vertical="center"/>
    </xf>
    <xf numFmtId="184" fontId="9" fillId="8" borderId="2" xfId="86" applyNumberFormat="1" applyFont="1" applyFill="1" applyBorder="1" applyAlignment="1">
      <alignment vertical="center" wrapText="1"/>
    </xf>
    <xf numFmtId="10" fontId="9" fillId="8" borderId="2" xfId="86" applyNumberFormat="1" applyFont="1" applyFill="1" applyBorder="1" applyAlignment="1">
      <alignment vertical="center" wrapText="1"/>
    </xf>
    <xf numFmtId="184" fontId="9" fillId="6" borderId="2" xfId="86" applyNumberFormat="1" applyFont="1" applyFill="1" applyBorder="1" applyAlignment="1">
      <alignment horizontal="left" vertical="center"/>
    </xf>
    <xf numFmtId="182" fontId="9" fillId="6" borderId="2" xfId="7" applyNumberFormat="1" applyFont="1" applyFill="1" applyBorder="1" applyAlignment="1">
      <alignment horizontal="left" vertical="center"/>
    </xf>
    <xf numFmtId="10" fontId="9" fillId="6" borderId="2" xfId="86" applyNumberFormat="1" applyFont="1" applyFill="1" applyBorder="1" applyAlignment="1">
      <alignment horizontal="left" vertical="center"/>
    </xf>
    <xf numFmtId="182" fontId="9" fillId="6" borderId="2" xfId="86" applyNumberFormat="1" applyFont="1" applyFill="1" applyBorder="1" applyAlignment="1">
      <alignment horizontal="left" vertical="center"/>
    </xf>
    <xf numFmtId="184" fontId="9" fillId="6" borderId="2" xfId="86" applyNumberFormat="1" applyFont="1" applyFill="1" applyBorder="1" applyAlignment="1">
      <alignment vertical="center" wrapText="1"/>
    </xf>
    <xf numFmtId="10" fontId="9" fillId="6" borderId="2" xfId="86" applyNumberFormat="1" applyFont="1" applyFill="1" applyBorder="1" applyAlignment="1">
      <alignment vertical="center" wrapText="1"/>
    </xf>
    <xf numFmtId="0" fontId="9" fillId="8" borderId="2" xfId="86" applyFont="1" applyFill="1" applyBorder="1" applyAlignment="1">
      <alignment horizontal="left" vertical="center"/>
    </xf>
    <xf numFmtId="184" fontId="9" fillId="6" borderId="21" xfId="86" applyNumberFormat="1" applyFont="1" applyFill="1" applyBorder="1" applyAlignment="1">
      <alignment horizontal="left" vertical="center"/>
    </xf>
    <xf numFmtId="0" fontId="9" fillId="6" borderId="21" xfId="86" applyFont="1" applyFill="1" applyBorder="1" applyAlignment="1">
      <alignment horizontal="left" vertical="center"/>
    </xf>
    <xf numFmtId="182" fontId="9" fillId="6" borderId="21" xfId="7" applyNumberFormat="1" applyFont="1" applyFill="1" applyBorder="1" applyAlignment="1">
      <alignment horizontal="left" vertical="center"/>
    </xf>
    <xf numFmtId="10" fontId="9" fillId="6" borderId="21" xfId="86" applyNumberFormat="1" applyFont="1" applyFill="1" applyBorder="1" applyAlignment="1">
      <alignment horizontal="left" vertical="center"/>
    </xf>
    <xf numFmtId="182" fontId="9" fillId="6" borderId="21" xfId="86" applyNumberFormat="1" applyFont="1" applyFill="1" applyBorder="1" applyAlignment="1">
      <alignment horizontal="left" vertical="center"/>
    </xf>
    <xf numFmtId="184" fontId="9" fillId="6" borderId="21" xfId="86" applyNumberFormat="1" applyFont="1" applyFill="1" applyBorder="1" applyAlignment="1">
      <alignment vertical="center" wrapText="1"/>
    </xf>
    <xf numFmtId="10" fontId="9" fillId="6" borderId="21" xfId="86" applyNumberFormat="1" applyFont="1" applyFill="1" applyBorder="1" applyAlignment="1">
      <alignment vertical="center" wrapText="1"/>
    </xf>
    <xf numFmtId="0" fontId="9" fillId="19" borderId="2" xfId="5" applyFont="1" applyFill="1" applyBorder="1" applyAlignment="1">
      <alignment vertical="center" wrapText="1"/>
    </xf>
    <xf numFmtId="184" fontId="0" fillId="19" borderId="2" xfId="0" applyNumberFormat="1" applyFont="1" applyFill="1" applyBorder="1" applyAlignment="1">
      <alignment vertical="center" wrapText="1"/>
    </xf>
    <xf numFmtId="184" fontId="0" fillId="19" borderId="2" xfId="0" applyNumberFormat="1" applyFill="1" applyBorder="1" applyAlignment="1">
      <alignment vertical="center" wrapText="1"/>
    </xf>
    <xf numFmtId="184" fontId="0" fillId="6" borderId="2" xfId="0" applyNumberFormat="1" applyFill="1" applyBorder="1" applyAlignment="1">
      <alignment vertical="center" wrapText="1"/>
    </xf>
    <xf numFmtId="184" fontId="0" fillId="8" borderId="2" xfId="0" applyNumberFormat="1" applyFill="1" applyBorder="1" applyAlignment="1">
      <alignment vertical="center" wrapText="1"/>
    </xf>
    <xf numFmtId="0" fontId="19" fillId="19" borderId="2" xfId="5" applyFont="1" applyFill="1" applyBorder="1" applyAlignment="1">
      <alignment vertical="center" wrapText="1"/>
    </xf>
    <xf numFmtId="0" fontId="19" fillId="8" borderId="2" xfId="5" applyFont="1" applyFill="1" applyBorder="1" applyAlignment="1">
      <alignment vertical="center" wrapText="1"/>
    </xf>
    <xf numFmtId="0" fontId="19" fillId="6" borderId="2" xfId="5" applyFont="1" applyFill="1" applyBorder="1" applyAlignment="1">
      <alignment vertical="center" wrapText="1"/>
    </xf>
    <xf numFmtId="0" fontId="9" fillId="6" borderId="2" xfId="86" applyFont="1" applyFill="1" applyBorder="1" applyAlignment="1">
      <alignment vertical="center" wrapText="1"/>
    </xf>
    <xf numFmtId="0" fontId="9" fillId="8" borderId="2" xfId="86" applyFont="1" applyFill="1" applyBorder="1" applyAlignment="1">
      <alignment vertical="center" wrapText="1"/>
    </xf>
    <xf numFmtId="0" fontId="9" fillId="6" borderId="21" xfId="86" applyFont="1" applyFill="1" applyBorder="1" applyAlignment="1">
      <alignment vertical="center" wrapText="1"/>
    </xf>
    <xf numFmtId="184" fontId="0" fillId="6" borderId="21" xfId="0" applyNumberFormat="1" applyFont="1" applyFill="1" applyBorder="1" applyAlignment="1">
      <alignment vertical="center" wrapText="1"/>
    </xf>
    <xf numFmtId="184" fontId="0" fillId="20" borderId="2" xfId="0" applyNumberFormat="1" applyFont="1" applyFill="1" applyBorder="1" applyAlignment="1">
      <alignment horizontal="left" vertical="center"/>
    </xf>
    <xf numFmtId="184" fontId="0" fillId="6" borderId="21" xfId="0" applyNumberFormat="1" applyFont="1" applyFill="1" applyBorder="1" applyAlignment="1">
      <alignment horizontal="left" vertical="center"/>
    </xf>
    <xf numFmtId="184" fontId="0" fillId="20" borderId="19" xfId="0" applyNumberFormat="1" applyFont="1" applyFill="1" applyBorder="1" applyAlignment="1">
      <alignment horizontal="left" vertical="center"/>
    </xf>
    <xf numFmtId="184" fontId="0" fillId="6" borderId="22" xfId="0" applyNumberFormat="1" applyFont="1" applyFill="1" applyBorder="1" applyAlignment="1">
      <alignment horizontal="left" vertical="center"/>
    </xf>
    <xf numFmtId="0" fontId="0" fillId="0" borderId="35" xfId="0" applyFont="1" applyBorder="1" applyAlignment="1">
      <alignment vertical="center"/>
    </xf>
    <xf numFmtId="0" fontId="13" fillId="10" borderId="2" xfId="87" applyNumberFormat="1" applyFont="1" applyFill="1" applyBorder="1" applyAlignment="1">
      <alignment horizontal="center" vertical="center"/>
    </xf>
    <xf numFmtId="0" fontId="0" fillId="0" borderId="37" xfId="0" applyFont="1" applyBorder="1" applyAlignment="1">
      <alignment vertical="center"/>
    </xf>
    <xf numFmtId="0" fontId="0" fillId="6" borderId="35" xfId="0" applyFill="1" applyBorder="1" applyAlignment="1">
      <alignment vertical="center"/>
    </xf>
    <xf numFmtId="49" fontId="13" fillId="6" borderId="2" xfId="87" applyNumberFormat="1" applyFont="1" applyFill="1" applyBorder="1" applyAlignment="1">
      <alignment horizontal="center" vertical="center"/>
    </xf>
    <xf numFmtId="178" fontId="9" fillId="6" borderId="2" xfId="87" applyNumberFormat="1" applyFont="1" applyFill="1" applyBorder="1" applyAlignment="1">
      <alignment horizontal="left" vertical="center"/>
    </xf>
    <xf numFmtId="178" fontId="9" fillId="6" borderId="2" xfId="87" applyNumberFormat="1" applyFont="1" applyFill="1" applyBorder="1" applyAlignment="1">
      <alignment horizontal="center" vertical="center"/>
    </xf>
    <xf numFmtId="0" fontId="0" fillId="8" borderId="38" xfId="0" applyFill="1" applyBorder="1" applyAlignment="1">
      <alignment vertical="center"/>
    </xf>
    <xf numFmtId="2" fontId="9" fillId="8" borderId="2" xfId="87" applyNumberFormat="1" applyFont="1" applyFill="1" applyBorder="1" applyAlignment="1">
      <alignment horizontal="left" vertical="center"/>
    </xf>
    <xf numFmtId="182" fontId="9" fillId="8" borderId="2" xfId="87" applyNumberFormat="1" applyFont="1" applyFill="1" applyBorder="1" applyAlignment="1">
      <alignment horizontal="center" vertical="center"/>
    </xf>
    <xf numFmtId="0" fontId="0" fillId="2" borderId="38" xfId="0" applyFill="1" applyBorder="1" applyAlignment="1">
      <alignment vertical="center"/>
    </xf>
    <xf numFmtId="2" fontId="9" fillId="6" borderId="2" xfId="87" applyNumberFormat="1" applyFont="1" applyFill="1" applyBorder="1" applyAlignment="1">
      <alignment horizontal="left" vertical="center"/>
    </xf>
    <xf numFmtId="182" fontId="9" fillId="6" borderId="2" xfId="87" applyNumberFormat="1" applyFont="1" applyFill="1" applyBorder="1" applyAlignment="1">
      <alignment horizontal="left" vertical="center"/>
    </xf>
    <xf numFmtId="182" fontId="9" fillId="7" borderId="2" xfId="87" applyNumberFormat="1" applyFont="1" applyFill="1" applyBorder="1" applyAlignment="1">
      <alignment horizontal="center" vertical="center"/>
    </xf>
    <xf numFmtId="187" fontId="9" fillId="8" borderId="2" xfId="87" applyNumberFormat="1" applyFont="1" applyFill="1" applyBorder="1" applyAlignment="1">
      <alignment horizontal="left" vertical="center"/>
    </xf>
    <xf numFmtId="9" fontId="9" fillId="8" borderId="2" xfId="6" applyFont="1" applyFill="1" applyBorder="1" applyAlignment="1" applyProtection="1">
      <alignment horizontal="left" vertical="center"/>
    </xf>
    <xf numFmtId="10" fontId="9" fillId="22" borderId="2" xfId="87" applyNumberFormat="1" applyFont="1" applyFill="1" applyBorder="1" applyAlignment="1">
      <alignment horizontal="center" vertical="center"/>
    </xf>
    <xf numFmtId="0" fontId="0" fillId="6" borderId="38" xfId="0" applyFill="1" applyBorder="1" applyAlignment="1">
      <alignment vertical="center"/>
    </xf>
    <xf numFmtId="184" fontId="9" fillId="6" borderId="2" xfId="87" applyNumberFormat="1" applyFont="1" applyFill="1" applyBorder="1" applyAlignment="1">
      <alignment horizontal="left" vertical="center"/>
    </xf>
    <xf numFmtId="184" fontId="9" fillId="6" borderId="2" xfId="87" applyNumberFormat="1" applyFont="1" applyFill="1" applyBorder="1" applyAlignment="1">
      <alignment horizontal="center" vertical="center"/>
    </xf>
    <xf numFmtId="10" fontId="9" fillId="8" borderId="2" xfId="87" applyNumberFormat="1" applyFont="1" applyFill="1" applyBorder="1" applyAlignment="1">
      <alignment horizontal="left" vertical="center"/>
    </xf>
    <xf numFmtId="10" fontId="9" fillId="8" borderId="2" xfId="87" applyNumberFormat="1" applyFont="1" applyFill="1" applyBorder="1" applyAlignment="1">
      <alignment horizontal="center" vertical="center"/>
    </xf>
    <xf numFmtId="0" fontId="0" fillId="6" borderId="2" xfId="0" applyFill="1" applyBorder="1" applyAlignment="1">
      <alignment vertical="center" wrapText="1"/>
    </xf>
    <xf numFmtId="9" fontId="9" fillId="8" borderId="2" xfId="87" applyNumberFormat="1" applyFont="1" applyFill="1" applyBorder="1" applyAlignment="1">
      <alignment horizontal="left" vertical="center"/>
    </xf>
    <xf numFmtId="9" fontId="9" fillId="6" borderId="2" xfId="6" applyFont="1" applyFill="1" applyBorder="1" applyAlignment="1" applyProtection="1">
      <alignment horizontal="left" vertical="center"/>
    </xf>
    <xf numFmtId="182" fontId="9" fillId="8" borderId="2" xfId="87" applyNumberFormat="1" applyFont="1" applyFill="1" applyBorder="1" applyAlignment="1">
      <alignment horizontal="left" vertical="center"/>
    </xf>
    <xf numFmtId="182" fontId="9" fillId="6" borderId="2" xfId="87" applyNumberFormat="1" applyFont="1" applyFill="1" applyBorder="1" applyAlignment="1">
      <alignment horizontal="center" vertical="center"/>
    </xf>
    <xf numFmtId="184" fontId="9" fillId="8" borderId="2" xfId="87" applyNumberFormat="1" applyFont="1" applyFill="1" applyBorder="1" applyAlignment="1">
      <alignment horizontal="left" vertical="center"/>
    </xf>
    <xf numFmtId="184" fontId="9" fillId="8" borderId="2" xfId="87" applyNumberFormat="1" applyFont="1" applyFill="1" applyBorder="1" applyAlignment="1">
      <alignment horizontal="center" vertical="center"/>
    </xf>
    <xf numFmtId="179" fontId="9" fillId="6" borderId="2" xfId="87" applyNumberFormat="1" applyFont="1" applyFill="1" applyBorder="1" applyAlignment="1">
      <alignment horizontal="left" vertical="center"/>
    </xf>
    <xf numFmtId="0" fontId="34" fillId="8" borderId="38" xfId="0" applyFont="1" applyFill="1" applyBorder="1" applyAlignment="1">
      <alignment vertical="center"/>
    </xf>
    <xf numFmtId="0" fontId="34" fillId="6" borderId="38" xfId="0" applyFont="1" applyFill="1" applyBorder="1" applyAlignment="1">
      <alignment vertical="center"/>
    </xf>
    <xf numFmtId="0" fontId="34" fillId="2" borderId="38" xfId="0" applyFont="1" applyFill="1" applyBorder="1" applyAlignment="1">
      <alignment vertical="center"/>
    </xf>
    <xf numFmtId="9" fontId="9" fillId="6" borderId="2" xfId="87" applyNumberFormat="1" applyFont="1" applyFill="1" applyBorder="1" applyAlignment="1">
      <alignment horizontal="left" vertical="center"/>
    </xf>
    <xf numFmtId="10" fontId="9" fillId="6" borderId="2" xfId="87" applyNumberFormat="1" applyFont="1" applyFill="1" applyBorder="1" applyAlignment="1">
      <alignment horizontal="left" vertical="center"/>
    </xf>
    <xf numFmtId="10" fontId="9" fillId="6" borderId="2" xfId="87" applyNumberFormat="1" applyFont="1" applyFill="1" applyBorder="1" applyAlignment="1">
      <alignment horizontal="center" vertical="center"/>
    </xf>
    <xf numFmtId="10" fontId="0" fillId="0" borderId="0" xfId="6" applyNumberFormat="1" applyFont="1">
      <alignment vertical="center"/>
    </xf>
    <xf numFmtId="0" fontId="0" fillId="18" borderId="0" xfId="0" applyFill="1" applyAlignment="1">
      <alignment horizontal="center" vertical="center"/>
    </xf>
    <xf numFmtId="0" fontId="17" fillId="10" borderId="2" xfId="0" applyNumberFormat="1" applyFont="1" applyFill="1" applyBorder="1" applyAlignment="1">
      <alignment horizontal="center" vertical="center"/>
    </xf>
    <xf numFmtId="178" fontId="0" fillId="6" borderId="2" xfId="0" applyNumberFormat="1" applyFont="1" applyFill="1" applyBorder="1" applyAlignment="1">
      <alignment horizontal="center" vertical="center"/>
    </xf>
    <xf numFmtId="10" fontId="0" fillId="22" borderId="2" xfId="0" applyNumberFormat="1" applyFont="1" applyFill="1" applyBorder="1" applyAlignment="1">
      <alignment horizontal="center" vertical="center"/>
    </xf>
    <xf numFmtId="10" fontId="0" fillId="8" borderId="2" xfId="0" applyNumberFormat="1" applyFont="1" applyFill="1" applyBorder="1" applyAlignment="1">
      <alignment horizontal="center" vertical="center"/>
    </xf>
    <xf numFmtId="182" fontId="0" fillId="7" borderId="2" xfId="0" applyNumberFormat="1" applyFont="1" applyFill="1" applyBorder="1" applyAlignment="1">
      <alignment horizontal="center" vertical="center"/>
    </xf>
    <xf numFmtId="0" fontId="17" fillId="10" borderId="23" xfId="0" applyNumberFormat="1" applyFont="1" applyFill="1" applyBorder="1" applyAlignment="1">
      <alignment horizontal="center" vertical="center"/>
    </xf>
    <xf numFmtId="0" fontId="17" fillId="10" borderId="21" xfId="0" applyNumberFormat="1" applyFont="1" applyFill="1" applyBorder="1" applyAlignment="1">
      <alignment horizontal="center" vertical="center"/>
    </xf>
    <xf numFmtId="0" fontId="17" fillId="10" borderId="22" xfId="0" applyNumberFormat="1" applyFont="1" applyFill="1" applyBorder="1" applyAlignment="1">
      <alignment horizontal="center" vertical="center"/>
    </xf>
    <xf numFmtId="178" fontId="0" fillId="6" borderId="17" xfId="0" applyNumberFormat="1" applyFont="1" applyFill="1" applyBorder="1" applyAlignment="1">
      <alignment horizontal="center" vertical="center"/>
    </xf>
    <xf numFmtId="178" fontId="0" fillId="6" borderId="15" xfId="0" applyNumberFormat="1" applyFont="1" applyFill="1" applyBorder="1" applyAlignment="1">
      <alignment horizontal="center" vertical="center"/>
    </xf>
    <xf numFmtId="178" fontId="0" fillId="6" borderId="16" xfId="0" applyNumberFormat="1" applyFont="1" applyFill="1" applyBorder="1" applyAlignment="1">
      <alignment horizontal="center" vertical="center"/>
    </xf>
    <xf numFmtId="182" fontId="9" fillId="8" borderId="4" xfId="87" applyNumberFormat="1" applyFont="1" applyFill="1" applyBorder="1" applyAlignment="1">
      <alignment horizontal="center" vertical="center"/>
    </xf>
    <xf numFmtId="182" fontId="9" fillId="7" borderId="4" xfId="87" applyNumberFormat="1" applyFont="1" applyFill="1" applyBorder="1" applyAlignment="1">
      <alignment horizontal="center" vertical="center"/>
    </xf>
    <xf numFmtId="10" fontId="0" fillId="22" borderId="4" xfId="0" applyNumberFormat="1" applyFont="1" applyFill="1" applyBorder="1" applyAlignment="1">
      <alignment horizontal="center" vertical="center"/>
    </xf>
    <xf numFmtId="10" fontId="0" fillId="22" borderId="19" xfId="0" applyNumberFormat="1" applyFont="1" applyFill="1" applyBorder="1" applyAlignment="1">
      <alignment horizontal="center" vertical="center"/>
    </xf>
    <xf numFmtId="184" fontId="9" fillId="6" borderId="4" xfId="87" applyNumberFormat="1" applyFont="1" applyFill="1" applyBorder="1" applyAlignment="1">
      <alignment horizontal="center" vertical="center"/>
    </xf>
    <xf numFmtId="10" fontId="9" fillId="8" borderId="4" xfId="87" applyNumberFormat="1" applyFont="1" applyFill="1" applyBorder="1" applyAlignment="1">
      <alignment horizontal="center" vertical="center"/>
    </xf>
    <xf numFmtId="10" fontId="0" fillId="8" borderId="4" xfId="0" applyNumberFormat="1" applyFont="1" applyFill="1" applyBorder="1" applyAlignment="1">
      <alignment horizontal="center" vertical="center"/>
    </xf>
    <xf numFmtId="10" fontId="0" fillId="8" borderId="19" xfId="0" applyNumberFormat="1" applyFont="1" applyFill="1" applyBorder="1" applyAlignment="1">
      <alignment horizontal="center" vertical="center"/>
    </xf>
    <xf numFmtId="182" fontId="0" fillId="7" borderId="19" xfId="0" applyNumberFormat="1" applyFont="1" applyFill="1" applyBorder="1" applyAlignment="1">
      <alignment horizontal="center" vertical="center"/>
    </xf>
    <xf numFmtId="10" fontId="9" fillId="6" borderId="4" xfId="87" applyNumberFormat="1" applyFont="1" applyFill="1" applyBorder="1" applyAlignment="1">
      <alignment horizontal="center" vertical="center"/>
    </xf>
    <xf numFmtId="182" fontId="9" fillId="6" borderId="4" xfId="87" applyNumberFormat="1" applyFont="1" applyFill="1" applyBorder="1" applyAlignment="1">
      <alignment horizontal="center" vertical="center"/>
    </xf>
    <xf numFmtId="184" fontId="9" fillId="8" borderId="4" xfId="87" applyNumberFormat="1" applyFont="1" applyFill="1" applyBorder="1" applyAlignment="1">
      <alignment horizontal="center" vertical="center"/>
    </xf>
    <xf numFmtId="182" fontId="0" fillId="7" borderId="4" xfId="0" applyNumberFormat="1" applyFont="1" applyFill="1" applyBorder="1" applyAlignment="1">
      <alignment horizontal="center" vertical="center"/>
    </xf>
    <xf numFmtId="182" fontId="9" fillId="6" borderId="19" xfId="87" applyNumberFormat="1" applyFont="1" applyFill="1" applyBorder="1" applyAlignment="1">
      <alignment horizontal="left" vertical="center"/>
    </xf>
    <xf numFmtId="182" fontId="9" fillId="8" borderId="19" xfId="87" applyNumberFormat="1" applyFont="1" applyFill="1" applyBorder="1" applyAlignment="1">
      <alignment horizontal="left" vertical="center"/>
    </xf>
    <xf numFmtId="10" fontId="9" fillId="6" borderId="19" xfId="87" applyNumberFormat="1" applyFont="1" applyFill="1" applyBorder="1" applyAlignment="1">
      <alignment horizontal="left" vertical="center"/>
    </xf>
    <xf numFmtId="10" fontId="9" fillId="22" borderId="4" xfId="87" applyNumberFormat="1" applyFont="1" applyFill="1" applyBorder="1" applyAlignment="1">
      <alignment horizontal="center" vertical="center"/>
    </xf>
    <xf numFmtId="184" fontId="9" fillId="8" borderId="19" xfId="87" applyNumberFormat="1" applyFont="1" applyFill="1" applyBorder="1" applyAlignment="1">
      <alignment horizontal="left" vertical="center"/>
    </xf>
    <xf numFmtId="0" fontId="0" fillId="6" borderId="6" xfId="0" applyFill="1" applyBorder="1" applyAlignment="1">
      <alignment horizontal="center" vertical="center" wrapText="1"/>
    </xf>
    <xf numFmtId="0" fontId="0" fillId="8" borderId="7" xfId="0" applyFill="1" applyBorder="1" applyAlignment="1">
      <alignment horizontal="center" vertical="center" wrapText="1"/>
    </xf>
    <xf numFmtId="0" fontId="0" fillId="8" borderId="59" xfId="0" applyFill="1" applyBorder="1" applyAlignment="1">
      <alignment horizontal="center" vertical="center" wrapText="1"/>
    </xf>
    <xf numFmtId="0" fontId="0" fillId="8" borderId="60" xfId="0" applyFill="1" applyBorder="1" applyAlignment="1">
      <alignment horizontal="center" vertical="center" wrapText="1"/>
    </xf>
    <xf numFmtId="0" fontId="0" fillId="6" borderId="7" xfId="0" applyFill="1" applyBorder="1" applyAlignment="1">
      <alignment horizontal="center" vertical="center" wrapText="1"/>
    </xf>
    <xf numFmtId="0" fontId="0" fillId="6" borderId="59" xfId="0" applyFill="1" applyBorder="1" applyAlignment="1">
      <alignment horizontal="center" vertical="center" wrapText="1"/>
    </xf>
    <xf numFmtId="0" fontId="0" fillId="6" borderId="60" xfId="0" applyFill="1" applyBorder="1" applyAlignment="1">
      <alignment horizontal="center" vertical="center" wrapText="1"/>
    </xf>
    <xf numFmtId="184" fontId="9" fillId="6" borderId="19" xfId="87" applyNumberFormat="1" applyFont="1" applyFill="1" applyBorder="1" applyAlignment="1">
      <alignment horizontal="left" vertical="center"/>
    </xf>
    <xf numFmtId="0" fontId="0" fillId="8" borderId="8" xfId="0" applyFill="1" applyBorder="1" applyAlignment="1">
      <alignment horizontal="center" vertical="center" wrapText="1"/>
    </xf>
    <xf numFmtId="0" fontId="0" fillId="8" borderId="61" xfId="0" applyFill="1" applyBorder="1" applyAlignment="1">
      <alignment horizontal="center" vertical="center" wrapText="1"/>
    </xf>
    <xf numFmtId="0" fontId="0" fillId="8" borderId="62" xfId="0" applyFill="1" applyBorder="1" applyAlignment="1">
      <alignment horizontal="center" vertical="center" wrapText="1"/>
    </xf>
    <xf numFmtId="2" fontId="9" fillId="21" borderId="2" xfId="87" applyNumberFormat="1" applyFont="1" applyFill="1" applyBorder="1" applyAlignment="1">
      <alignment horizontal="left" vertical="center"/>
    </xf>
    <xf numFmtId="182" fontId="9" fillId="21" borderId="2" xfId="87" applyNumberFormat="1" applyFont="1" applyFill="1" applyBorder="1" applyAlignment="1">
      <alignment horizontal="left" vertical="center"/>
    </xf>
    <xf numFmtId="182" fontId="9" fillId="21" borderId="19" xfId="87" applyNumberFormat="1" applyFont="1" applyFill="1" applyBorder="1" applyAlignment="1">
      <alignment horizontal="left" vertical="center"/>
    </xf>
    <xf numFmtId="184" fontId="9" fillId="21" borderId="2" xfId="87" applyNumberFormat="1" applyFont="1" applyFill="1" applyBorder="1" applyAlignment="1">
      <alignment horizontal="left" vertical="center"/>
    </xf>
    <xf numFmtId="184" fontId="9" fillId="21" borderId="19" xfId="87" applyNumberFormat="1" applyFont="1" applyFill="1" applyBorder="1" applyAlignment="1">
      <alignment horizontal="left" vertical="center"/>
    </xf>
    <xf numFmtId="0" fontId="9" fillId="21" borderId="2" xfId="86" applyFont="1" applyFill="1" applyBorder="1" applyAlignment="1">
      <alignment horizontal="left" vertical="center"/>
    </xf>
    <xf numFmtId="2" fontId="13" fillId="6" borderId="2" xfId="87" applyNumberFormat="1" applyFont="1" applyFill="1" applyBorder="1" applyAlignment="1">
      <alignment horizontal="center" vertical="center" wrapText="1"/>
    </xf>
    <xf numFmtId="0" fontId="13" fillId="8" borderId="2" xfId="87" applyFont="1" applyFill="1" applyBorder="1" applyAlignment="1">
      <alignment horizontal="center" vertical="center" wrapText="1"/>
    </xf>
    <xf numFmtId="0" fontId="9" fillId="8" borderId="2" xfId="87" applyFont="1" applyFill="1" applyBorder="1" applyAlignment="1">
      <alignment horizontal="left" vertical="center"/>
    </xf>
    <xf numFmtId="0" fontId="0" fillId="6" borderId="37" xfId="0" applyFill="1" applyBorder="1" applyAlignment="1">
      <alignment vertical="center"/>
    </xf>
    <xf numFmtId="0" fontId="13" fillId="6" borderId="21" xfId="87" applyFont="1" applyFill="1" applyBorder="1" applyAlignment="1">
      <alignment horizontal="center" vertical="center" wrapText="1"/>
    </xf>
    <xf numFmtId="0" fontId="9" fillId="6" borderId="21" xfId="87" applyFont="1" applyFill="1" applyBorder="1" applyAlignment="1">
      <alignment horizontal="left" vertical="center" wrapText="1"/>
    </xf>
    <xf numFmtId="184" fontId="9" fillId="6" borderId="23" xfId="87" applyNumberFormat="1" applyFont="1" applyFill="1" applyBorder="1" applyAlignment="1">
      <alignment horizontal="center" vertical="center"/>
    </xf>
    <xf numFmtId="0" fontId="13" fillId="3" borderId="0" xfId="87" applyFont="1" applyFill="1" applyBorder="1" applyAlignment="1">
      <alignment horizontal="left" vertical="center"/>
    </xf>
    <xf numFmtId="0" fontId="13" fillId="3" borderId="0" xfId="87" applyFont="1" applyFill="1" applyBorder="1" applyAlignment="1">
      <alignment vertical="center" wrapText="1"/>
    </xf>
    <xf numFmtId="0" fontId="9" fillId="3" borderId="0" xfId="87" applyFont="1" applyFill="1" applyBorder="1" applyAlignment="1">
      <alignment horizontal="left" vertical="center" wrapText="1"/>
    </xf>
    <xf numFmtId="40" fontId="0" fillId="0" borderId="0" xfId="0" applyNumberFormat="1" applyFont="1" applyBorder="1" applyAlignment="1">
      <alignment horizontal="left" vertical="center"/>
    </xf>
    <xf numFmtId="40" fontId="9" fillId="0" borderId="0" xfId="87" applyNumberFormat="1" applyFont="1" applyBorder="1" applyAlignment="1">
      <alignment horizontal="left" vertical="center"/>
    </xf>
    <xf numFmtId="0" fontId="13" fillId="3" borderId="0" xfId="87" applyFont="1" applyFill="1" applyBorder="1" applyAlignment="1">
      <alignment horizontal="center" vertical="center"/>
    </xf>
    <xf numFmtId="0" fontId="0" fillId="4" borderId="35" xfId="0" applyFill="1" applyBorder="1" applyAlignment="1">
      <alignment vertical="center"/>
    </xf>
    <xf numFmtId="0" fontId="9" fillId="8" borderId="15" xfId="87" applyFont="1" applyFill="1" applyBorder="1" applyAlignment="1">
      <alignment horizontal="left" vertical="center"/>
    </xf>
    <xf numFmtId="40" fontId="0" fillId="4" borderId="15" xfId="0" applyNumberFormat="1" applyFont="1" applyFill="1" applyBorder="1" applyAlignment="1">
      <alignment horizontal="left" vertical="center"/>
    </xf>
    <xf numFmtId="40" fontId="0" fillId="4" borderId="16" xfId="0" applyNumberFormat="1" applyFont="1" applyFill="1" applyBorder="1" applyAlignment="1">
      <alignment horizontal="left" vertical="center"/>
    </xf>
    <xf numFmtId="40" fontId="9" fillId="22" borderId="17" xfId="87" applyNumberFormat="1" applyFont="1" applyFill="1" applyBorder="1" applyAlignment="1">
      <alignment horizontal="left" vertical="center"/>
    </xf>
    <xf numFmtId="0" fontId="0" fillId="4" borderId="38" xfId="0" applyFill="1" applyBorder="1" applyAlignment="1">
      <alignment vertical="center"/>
    </xf>
    <xf numFmtId="0" fontId="9" fillId="6" borderId="2" xfId="87" applyFont="1" applyFill="1" applyBorder="1" applyAlignment="1">
      <alignment horizontal="left" vertical="center"/>
    </xf>
    <xf numFmtId="40" fontId="0" fillId="4" borderId="2" xfId="0" applyNumberFormat="1" applyFont="1" applyFill="1" applyBorder="1" applyAlignment="1">
      <alignment horizontal="left" vertical="center"/>
    </xf>
    <xf numFmtId="40" fontId="0" fillId="4" borderId="19" xfId="0" applyNumberFormat="1" applyFont="1" applyFill="1" applyBorder="1" applyAlignment="1">
      <alignment horizontal="left" vertical="center"/>
    </xf>
    <xf numFmtId="40" fontId="9" fillId="22" borderId="4" xfId="87" applyNumberFormat="1" applyFont="1" applyFill="1" applyBorder="1" applyAlignment="1">
      <alignment horizontal="left" vertical="center"/>
    </xf>
    <xf numFmtId="184" fontId="0" fillId="22" borderId="4" xfId="0" applyNumberFormat="1" applyFont="1" applyFill="1" applyBorder="1" applyAlignment="1">
      <alignment horizontal="left" vertical="center"/>
    </xf>
    <xf numFmtId="40" fontId="0" fillId="6" borderId="2" xfId="0" applyNumberFormat="1" applyFont="1" applyFill="1" applyBorder="1" applyAlignment="1">
      <alignment horizontal="left" vertical="center"/>
    </xf>
    <xf numFmtId="40" fontId="0" fillId="6" borderId="19" xfId="0" applyNumberFormat="1" applyFont="1" applyFill="1" applyBorder="1" applyAlignment="1">
      <alignment horizontal="left" vertical="center"/>
    </xf>
    <xf numFmtId="40" fontId="9" fillId="6" borderId="4" xfId="87" applyNumberFormat="1" applyFont="1" applyFill="1" applyBorder="1" applyAlignment="1">
      <alignment horizontal="left" vertical="center"/>
    </xf>
    <xf numFmtId="40" fontId="0" fillId="8" borderId="2" xfId="0" applyNumberFormat="1" applyFont="1" applyFill="1" applyBorder="1" applyAlignment="1">
      <alignment horizontal="left" vertical="center"/>
    </xf>
    <xf numFmtId="40" fontId="0" fillId="8" borderId="19" xfId="0" applyNumberFormat="1" applyFont="1" applyFill="1" applyBorder="1" applyAlignment="1">
      <alignment horizontal="left" vertical="center"/>
    </xf>
    <xf numFmtId="40" fontId="0" fillId="8" borderId="4" xfId="0" applyNumberFormat="1" applyFont="1" applyFill="1" applyBorder="1" applyAlignment="1">
      <alignment horizontal="left" vertical="center"/>
    </xf>
    <xf numFmtId="40" fontId="0" fillId="6" borderId="4" xfId="0" applyNumberFormat="1" applyFont="1" applyFill="1" applyBorder="1" applyAlignment="1">
      <alignment horizontal="left" vertical="center"/>
    </xf>
    <xf numFmtId="40" fontId="9" fillId="8" borderId="4" xfId="87" applyNumberFormat="1" applyFont="1" applyFill="1" applyBorder="1" applyAlignment="1">
      <alignment horizontal="left" vertical="center"/>
    </xf>
    <xf numFmtId="0" fontId="0" fillId="6" borderId="2" xfId="0" applyFill="1" applyBorder="1">
      <alignment vertical="center"/>
    </xf>
    <xf numFmtId="10" fontId="0" fillId="4" borderId="2" xfId="0" applyNumberFormat="1" applyFont="1" applyFill="1" applyBorder="1" applyAlignment="1">
      <alignment horizontal="left" vertical="center"/>
    </xf>
    <xf numFmtId="10" fontId="0" fillId="4" borderId="19" xfId="0" applyNumberFormat="1" applyFont="1" applyFill="1" applyBorder="1" applyAlignment="1">
      <alignment horizontal="left" vertical="center"/>
    </xf>
    <xf numFmtId="10" fontId="9" fillId="22" borderId="4" xfId="87" applyNumberFormat="1" applyFont="1" applyFill="1" applyBorder="1" applyAlignment="1">
      <alignment horizontal="left" vertical="center"/>
    </xf>
    <xf numFmtId="0" fontId="0" fillId="6" borderId="21" xfId="0" applyFill="1" applyBorder="1">
      <alignment vertical="center"/>
    </xf>
    <xf numFmtId="40" fontId="0" fillId="6" borderId="21" xfId="0" applyNumberFormat="1" applyFont="1" applyFill="1" applyBorder="1" applyAlignment="1">
      <alignment horizontal="left" vertical="center"/>
    </xf>
    <xf numFmtId="40" fontId="0" fillId="6" borderId="22" xfId="0" applyNumberFormat="1" applyFont="1" applyFill="1" applyBorder="1" applyAlignment="1">
      <alignment horizontal="left" vertical="center"/>
    </xf>
    <xf numFmtId="40" fontId="9" fillId="6" borderId="23" xfId="87" applyNumberFormat="1" applyFont="1" applyFill="1" applyBorder="1" applyAlignment="1">
      <alignment horizontal="left" vertical="center"/>
    </xf>
    <xf numFmtId="10" fontId="0" fillId="6" borderId="2" xfId="0" applyNumberFormat="1" applyFont="1" applyFill="1" applyBorder="1" applyAlignment="1">
      <alignment horizontal="center" vertical="center"/>
    </xf>
    <xf numFmtId="182" fontId="0" fillId="8" borderId="2" xfId="0" applyNumberFormat="1" applyFont="1" applyFill="1" applyBorder="1" applyAlignment="1">
      <alignment horizontal="center" vertical="center"/>
    </xf>
    <xf numFmtId="182" fontId="0" fillId="6" borderId="2" xfId="0" applyNumberFormat="1" applyFont="1" applyFill="1" applyBorder="1" applyAlignment="1">
      <alignment horizontal="center" vertical="center"/>
    </xf>
    <xf numFmtId="184" fontId="0" fillId="8" borderId="2" xfId="0" applyNumberFormat="1" applyFont="1" applyFill="1" applyBorder="1" applyAlignment="1">
      <alignment horizontal="center" vertical="center"/>
    </xf>
    <xf numFmtId="184" fontId="0" fillId="6" borderId="2" xfId="0" applyNumberFormat="1" applyFont="1" applyFill="1" applyBorder="1" applyAlignment="1">
      <alignment horizontal="center" vertical="center"/>
    </xf>
    <xf numFmtId="40" fontId="9" fillId="22" borderId="15" xfId="87" applyNumberFormat="1" applyFont="1" applyFill="1" applyBorder="1" applyAlignment="1">
      <alignment horizontal="left" vertical="center"/>
    </xf>
    <xf numFmtId="40" fontId="0" fillId="22" borderId="15" xfId="0" applyNumberFormat="1" applyFont="1" applyFill="1" applyBorder="1" applyAlignment="1">
      <alignment horizontal="left" vertical="center"/>
    </xf>
    <xf numFmtId="10" fontId="0" fillId="6" borderId="4" xfId="0" applyNumberFormat="1" applyFont="1" applyFill="1" applyBorder="1" applyAlignment="1">
      <alignment horizontal="center" vertical="center"/>
    </xf>
    <xf numFmtId="10" fontId="0" fillId="6" borderId="19" xfId="0" applyNumberFormat="1" applyFont="1" applyFill="1" applyBorder="1" applyAlignment="1">
      <alignment horizontal="center" vertical="center"/>
    </xf>
    <xf numFmtId="182" fontId="0" fillId="8" borderId="19" xfId="0" applyNumberFormat="1" applyFont="1" applyFill="1" applyBorder="1" applyAlignment="1">
      <alignment horizontal="center" vertical="center"/>
    </xf>
    <xf numFmtId="182" fontId="0" fillId="6" borderId="19" xfId="0" applyNumberFormat="1" applyFont="1" applyFill="1" applyBorder="1" applyAlignment="1">
      <alignment horizontal="center" vertical="center"/>
    </xf>
    <xf numFmtId="184" fontId="0" fillId="8" borderId="19" xfId="0" applyNumberFormat="1" applyFont="1" applyFill="1" applyBorder="1" applyAlignment="1">
      <alignment horizontal="center" vertical="center"/>
    </xf>
    <xf numFmtId="184" fontId="0" fillId="6" borderId="19" xfId="0" applyNumberFormat="1" applyFont="1" applyFill="1" applyBorder="1" applyAlignment="1">
      <alignment horizontal="center" vertical="center"/>
    </xf>
    <xf numFmtId="40" fontId="0" fillId="22" borderId="16" xfId="0" applyNumberFormat="1" applyFont="1" applyFill="1" applyBorder="1" applyAlignment="1">
      <alignment horizontal="left" vertical="center"/>
    </xf>
    <xf numFmtId="0" fontId="0" fillId="0" borderId="0" xfId="0" applyAlignment="1"/>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Font="1" applyBorder="1" applyAlignment="1">
      <alignment horizontal="center" vertical="center" wrapText="1"/>
    </xf>
    <xf numFmtId="1" fontId="28" fillId="0" borderId="2" xfId="0" applyNumberFormat="1" applyFont="1" applyBorder="1" applyAlignment="1">
      <alignment horizontal="center" vertical="center"/>
    </xf>
    <xf numFmtId="1" fontId="0" fillId="0" borderId="2" xfId="0" applyNumberFormat="1" applyBorder="1" applyAlignment="1">
      <alignment horizontal="center" vertical="center"/>
    </xf>
    <xf numFmtId="179" fontId="0" fillId="0" borderId="2" xfId="0" applyNumberFormat="1" applyBorder="1" applyAlignment="1">
      <alignment horizontal="center" vertical="center"/>
    </xf>
    <xf numFmtId="178" fontId="0" fillId="0" borderId="2" xfId="0" applyNumberFormat="1" applyBorder="1" applyAlignment="1">
      <alignment horizontal="center" vertical="center"/>
    </xf>
    <xf numFmtId="0" fontId="0" fillId="6" borderId="35" xfId="0" applyFill="1" applyBorder="1" applyAlignment="1">
      <alignment horizontal="left" vertical="center"/>
    </xf>
    <xf numFmtId="0" fontId="13" fillId="6" borderId="16" xfId="86" applyFont="1" applyFill="1" applyBorder="1" applyAlignment="1">
      <alignment horizontal="left" vertical="center"/>
    </xf>
    <xf numFmtId="188" fontId="9" fillId="23" borderId="15" xfId="86" applyNumberFormat="1" applyFont="1" applyFill="1" applyBorder="1" applyAlignment="1">
      <alignment horizontal="left" vertical="center"/>
    </xf>
    <xf numFmtId="188" fontId="9" fillId="6" borderId="15" xfId="86" applyNumberFormat="1" applyFont="1" applyFill="1" applyBorder="1" applyAlignment="1">
      <alignment horizontal="left" vertical="center"/>
    </xf>
    <xf numFmtId="0" fontId="9" fillId="8" borderId="19" xfId="86" applyFont="1" applyFill="1" applyBorder="1" applyAlignment="1">
      <alignment horizontal="left" vertical="center"/>
    </xf>
    <xf numFmtId="188" fontId="9" fillId="8" borderId="2" xfId="86" applyNumberFormat="1" applyFont="1" applyFill="1" applyBorder="1" applyAlignment="1">
      <alignment horizontal="left" vertical="center"/>
    </xf>
    <xf numFmtId="188" fontId="9" fillId="23" borderId="2" xfId="86" applyNumberFormat="1" applyFont="1" applyFill="1" applyBorder="1" applyAlignment="1">
      <alignment horizontal="left" vertical="center"/>
    </xf>
    <xf numFmtId="0" fontId="9" fillId="6" borderId="19" xfId="86" applyFont="1" applyFill="1" applyBorder="1" applyAlignment="1">
      <alignment horizontal="left" vertical="center"/>
    </xf>
    <xf numFmtId="188" fontId="9" fillId="6" borderId="2" xfId="86" applyNumberFormat="1" applyFont="1" applyFill="1" applyBorder="1" applyAlignment="1">
      <alignment horizontal="left" vertical="center"/>
    </xf>
    <xf numFmtId="188" fontId="9" fillId="24" borderId="2" xfId="86" applyNumberFormat="1" applyFont="1" applyFill="1" applyBorder="1" applyAlignment="1">
      <alignment horizontal="left" vertical="center"/>
    </xf>
    <xf numFmtId="0" fontId="9" fillId="8" borderId="50" xfId="86" applyFont="1" applyFill="1" applyBorder="1" applyAlignment="1">
      <alignment horizontal="left" vertical="center"/>
    </xf>
    <xf numFmtId="0" fontId="0" fillId="6" borderId="38" xfId="0" applyFont="1" applyFill="1" applyBorder="1" applyAlignment="1">
      <alignment horizontal="left" vertical="center"/>
    </xf>
    <xf numFmtId="0" fontId="0" fillId="8" borderId="38" xfId="0" applyFont="1" applyFill="1" applyBorder="1" applyAlignment="1">
      <alignment horizontal="left" vertical="center"/>
    </xf>
    <xf numFmtId="0" fontId="0" fillId="6" borderId="37" xfId="0" applyFont="1" applyFill="1" applyBorder="1" applyAlignment="1">
      <alignment horizontal="left" vertical="center"/>
    </xf>
    <xf numFmtId="188" fontId="9" fillId="6" borderId="21" xfId="86" applyNumberFormat="1" applyFont="1" applyFill="1" applyBorder="1" applyAlignment="1">
      <alignment horizontal="left" vertical="center"/>
    </xf>
    <xf numFmtId="188" fontId="0" fillId="6" borderId="15" xfId="0" applyNumberFormat="1" applyFont="1" applyFill="1" applyBorder="1" applyAlignment="1">
      <alignment horizontal="left" vertical="center"/>
    </xf>
    <xf numFmtId="188" fontId="0" fillId="23" borderId="2" xfId="0" applyNumberFormat="1" applyFont="1" applyFill="1" applyBorder="1" applyAlignment="1">
      <alignment horizontal="left" vertical="center"/>
    </xf>
    <xf numFmtId="188" fontId="0" fillId="24" borderId="2" xfId="0" applyNumberFormat="1" applyFont="1" applyFill="1" applyBorder="1" applyAlignment="1">
      <alignment horizontal="left" vertical="center"/>
    </xf>
    <xf numFmtId="188" fontId="0" fillId="8" borderId="2" xfId="0" applyNumberFormat="1" applyFont="1" applyFill="1" applyBorder="1" applyAlignment="1">
      <alignment horizontal="left" vertical="center"/>
    </xf>
    <xf numFmtId="188" fontId="0" fillId="6" borderId="2" xfId="0" applyNumberFormat="1" applyFont="1" applyFill="1" applyBorder="1" applyAlignment="1">
      <alignment horizontal="left" vertical="center"/>
    </xf>
    <xf numFmtId="188" fontId="0" fillId="6" borderId="21" xfId="0" applyNumberFormat="1" applyFont="1" applyFill="1" applyBorder="1" applyAlignment="1">
      <alignment horizontal="left" vertical="center"/>
    </xf>
    <xf numFmtId="188" fontId="0" fillId="6" borderId="16" xfId="0" applyNumberFormat="1" applyFont="1" applyFill="1" applyBorder="1" applyAlignment="1">
      <alignment horizontal="left" vertical="center"/>
    </xf>
    <xf numFmtId="188" fontId="0" fillId="8" borderId="19" xfId="0" applyNumberFormat="1" applyFont="1" applyFill="1" applyBorder="1" applyAlignment="1">
      <alignment horizontal="left" vertical="center"/>
    </xf>
    <xf numFmtId="188" fontId="0" fillId="24" borderId="19" xfId="0" applyNumberFormat="1" applyFont="1" applyFill="1" applyBorder="1" applyAlignment="1">
      <alignment horizontal="left" vertical="center"/>
    </xf>
    <xf numFmtId="188" fontId="0" fillId="6" borderId="19" xfId="0" applyNumberFormat="1" applyFont="1" applyFill="1" applyBorder="1" applyAlignment="1">
      <alignment horizontal="left" vertical="center"/>
    </xf>
    <xf numFmtId="188" fontId="0" fillId="6" borderId="22" xfId="0" applyNumberFormat="1" applyFont="1" applyFill="1" applyBorder="1" applyAlignment="1">
      <alignment horizontal="left" vertical="center"/>
    </xf>
    <xf numFmtId="0" fontId="35" fillId="0" borderId="0" xfId="60" applyFont="1" applyAlignment="1">
      <alignment vertical="center"/>
    </xf>
    <xf numFmtId="0" fontId="36" fillId="0" borderId="0" xfId="60" applyFont="1" applyAlignment="1">
      <alignment vertical="center"/>
    </xf>
    <xf numFmtId="0" fontId="2" fillId="0" borderId="2" xfId="60" applyFont="1" applyBorder="1" applyAlignment="1">
      <alignment horizontal="left" vertical="center" wrapText="1"/>
    </xf>
    <xf numFmtId="0" fontId="2" fillId="0" borderId="2" xfId="60" applyFont="1" applyBorder="1" applyAlignment="1">
      <alignment horizontal="center" vertical="center" wrapText="1"/>
    </xf>
    <xf numFmtId="0" fontId="2" fillId="0" borderId="2" xfId="60" applyFont="1" applyBorder="1" applyAlignment="1">
      <alignment vertical="center"/>
    </xf>
    <xf numFmtId="0" fontId="5" fillId="0" borderId="0" xfId="40" applyBorder="1" applyAlignment="1">
      <alignment vertical="center"/>
    </xf>
    <xf numFmtId="0" fontId="9" fillId="11" borderId="12" xfId="40" applyFont="1" applyFill="1" applyBorder="1" applyAlignment="1"/>
    <xf numFmtId="0" fontId="13" fillId="25" borderId="13" xfId="40" applyFont="1" applyFill="1" applyBorder="1" applyAlignment="1">
      <alignment horizontal="center" wrapText="1"/>
    </xf>
    <xf numFmtId="0" fontId="13" fillId="25" borderId="13" xfId="40" applyFont="1" applyFill="1" applyBorder="1" applyAlignment="1">
      <alignment horizontal="center" vertical="center"/>
    </xf>
    <xf numFmtId="0" fontId="17" fillId="25" borderId="26" xfId="0" applyFont="1" applyFill="1" applyBorder="1" applyAlignment="1" applyProtection="1">
      <alignment horizontal="center" vertical="center"/>
      <protection locked="0"/>
    </xf>
    <xf numFmtId="0" fontId="9" fillId="6" borderId="42" xfId="40" applyFont="1" applyFill="1" applyBorder="1" applyAlignment="1"/>
    <xf numFmtId="0" fontId="9" fillId="6" borderId="15" xfId="40" applyFont="1" applyFill="1" applyBorder="1" applyAlignment="1">
      <alignment horizontal="justify" wrapText="1"/>
    </xf>
    <xf numFmtId="0" fontId="9" fillId="6" borderId="16" xfId="40" applyFont="1" applyFill="1" applyBorder="1" applyAlignment="1">
      <alignment horizontal="center" wrapText="1"/>
    </xf>
    <xf numFmtId="176" fontId="9" fillId="6" borderId="17" xfId="40" applyNumberFormat="1" applyFont="1" applyFill="1" applyBorder="1" applyAlignment="1">
      <alignment horizontal="right" vertical="center"/>
    </xf>
    <xf numFmtId="189" fontId="9" fillId="6" borderId="15" xfId="40" applyNumberFormat="1" applyFont="1" applyFill="1" applyBorder="1" applyAlignment="1">
      <alignment horizontal="right" vertical="center"/>
    </xf>
    <xf numFmtId="49" fontId="0" fillId="6" borderId="16" xfId="0" applyNumberFormat="1" applyFont="1" applyFill="1" applyBorder="1" applyAlignment="1" applyProtection="1">
      <alignment vertical="center"/>
      <protection locked="0"/>
    </xf>
    <xf numFmtId="0" fontId="9" fillId="8" borderId="65" xfId="40" applyFont="1" applyFill="1" applyBorder="1" applyAlignment="1"/>
    <xf numFmtId="0" fontId="9" fillId="8" borderId="2" xfId="40" applyFont="1" applyFill="1" applyBorder="1" applyAlignment="1">
      <alignment horizontal="justify" wrapText="1"/>
    </xf>
    <xf numFmtId="0" fontId="9" fillId="8" borderId="19" xfId="40" applyFont="1" applyFill="1" applyBorder="1" applyAlignment="1">
      <alignment horizontal="center" wrapText="1"/>
    </xf>
    <xf numFmtId="176" fontId="9" fillId="8" borderId="4" xfId="40" applyNumberFormat="1" applyFont="1" applyFill="1" applyBorder="1" applyAlignment="1">
      <alignment horizontal="right" vertical="center"/>
    </xf>
    <xf numFmtId="189" fontId="9" fillId="8" borderId="2" xfId="40" applyNumberFormat="1" applyFont="1" applyFill="1" applyBorder="1" applyAlignment="1">
      <alignment horizontal="right" vertical="center"/>
    </xf>
    <xf numFmtId="49" fontId="0" fillId="8" borderId="19" xfId="0" applyNumberFormat="1" applyFont="1" applyFill="1" applyBorder="1" applyAlignment="1" applyProtection="1">
      <alignment vertical="center"/>
      <protection locked="0"/>
    </xf>
    <xf numFmtId="0" fontId="9" fillId="7" borderId="65" xfId="40" applyFont="1" applyFill="1" applyBorder="1" applyAlignment="1"/>
    <xf numFmtId="0" fontId="9" fillId="6" borderId="2" xfId="40" applyFont="1" applyFill="1" applyBorder="1" applyAlignment="1">
      <alignment horizontal="justify" wrapText="1"/>
    </xf>
    <xf numFmtId="0" fontId="9" fillId="6" borderId="19" xfId="40" applyFont="1" applyFill="1" applyBorder="1" applyAlignment="1">
      <alignment horizontal="center" wrapText="1"/>
    </xf>
    <xf numFmtId="176" fontId="9" fillId="7" borderId="4" xfId="40" applyNumberFormat="1" applyFont="1" applyFill="1" applyBorder="1" applyAlignment="1" applyProtection="1">
      <alignment horizontal="right" vertical="center"/>
      <protection locked="0"/>
    </xf>
    <xf numFmtId="189" fontId="9" fillId="6" borderId="2" xfId="40" applyNumberFormat="1" applyFont="1" applyFill="1" applyBorder="1" applyAlignment="1">
      <alignment horizontal="right" vertical="center"/>
    </xf>
    <xf numFmtId="49" fontId="0" fillId="6" borderId="19" xfId="0" applyNumberFormat="1" applyFont="1" applyFill="1" applyBorder="1" applyAlignment="1" applyProtection="1">
      <alignment vertical="center"/>
      <protection locked="0"/>
    </xf>
    <xf numFmtId="0" fontId="9" fillId="8" borderId="2" xfId="40" applyFont="1" applyFill="1" applyBorder="1" applyAlignment="1">
      <alignment horizontal="left"/>
    </xf>
    <xf numFmtId="182" fontId="9" fillId="26" borderId="4" xfId="40" applyNumberFormat="1" applyFont="1" applyFill="1" applyBorder="1" applyAlignment="1">
      <alignment horizontal="right" vertical="center"/>
    </xf>
    <xf numFmtId="182" fontId="9" fillId="26" borderId="2" xfId="40" applyNumberFormat="1" applyFont="1" applyFill="1" applyBorder="1" applyAlignment="1">
      <alignment horizontal="right" vertical="center"/>
    </xf>
    <xf numFmtId="0" fontId="9" fillId="6" borderId="65" xfId="40" applyFont="1" applyFill="1" applyBorder="1" applyAlignment="1"/>
    <xf numFmtId="0" fontId="9" fillId="6" borderId="2" xfId="40" applyFont="1" applyFill="1" applyBorder="1" applyAlignment="1">
      <alignment horizontal="left"/>
    </xf>
    <xf numFmtId="182" fontId="9" fillId="8" borderId="4" xfId="40" applyNumberFormat="1" applyFont="1" applyFill="1" applyBorder="1" applyAlignment="1">
      <alignment horizontal="right" vertical="center"/>
    </xf>
    <xf numFmtId="182" fontId="9" fillId="8" borderId="2" xfId="40" applyNumberFormat="1" applyFont="1" applyFill="1" applyBorder="1" applyAlignment="1">
      <alignment horizontal="right" vertical="center"/>
    </xf>
    <xf numFmtId="182" fontId="9" fillId="7" borderId="4" xfId="40" applyNumberFormat="1" applyFont="1" applyFill="1" applyBorder="1" applyAlignment="1" applyProtection="1">
      <alignment horizontal="right" vertical="center"/>
      <protection locked="0"/>
    </xf>
    <xf numFmtId="182" fontId="9" fillId="7" borderId="2" xfId="40" applyNumberFormat="1" applyFont="1" applyFill="1" applyBorder="1" applyAlignment="1" applyProtection="1">
      <alignment horizontal="right" vertical="center"/>
      <protection locked="0"/>
    </xf>
    <xf numFmtId="182" fontId="9" fillId="6" borderId="4" xfId="40" applyNumberFormat="1" applyFont="1" applyFill="1" applyBorder="1" applyAlignment="1">
      <alignment horizontal="right" vertical="center"/>
    </xf>
    <xf numFmtId="182" fontId="9" fillId="6" borderId="2" xfId="40" applyNumberFormat="1" applyFont="1" applyFill="1" applyBorder="1" applyAlignment="1">
      <alignment horizontal="right" vertical="center"/>
    </xf>
    <xf numFmtId="0" fontId="9" fillId="6" borderId="65" xfId="40" applyFont="1" applyFill="1" applyBorder="1"/>
    <xf numFmtId="49" fontId="0" fillId="6" borderId="19" xfId="0" applyNumberFormat="1" applyFont="1" applyFill="1" applyBorder="1" applyProtection="1">
      <alignment vertical="center"/>
      <protection locked="0"/>
    </xf>
    <xf numFmtId="0" fontId="9" fillId="8" borderId="65" xfId="40" applyFont="1" applyFill="1" applyBorder="1"/>
    <xf numFmtId="49" fontId="0" fillId="8" borderId="19" xfId="0" applyNumberFormat="1" applyFont="1" applyFill="1" applyBorder="1" applyProtection="1">
      <alignment vertical="center"/>
      <protection locked="0"/>
    </xf>
    <xf numFmtId="181" fontId="0" fillId="0" borderId="0" xfId="0" applyNumberFormat="1">
      <alignment vertical="center"/>
    </xf>
    <xf numFmtId="0" fontId="9" fillId="7" borderId="18" xfId="40" applyFont="1" applyFill="1" applyBorder="1" applyAlignment="1"/>
    <xf numFmtId="0" fontId="9" fillId="27" borderId="2" xfId="40" applyFont="1" applyFill="1" applyBorder="1" applyAlignment="1">
      <alignment horizontal="justify" wrapText="1"/>
    </xf>
    <xf numFmtId="190" fontId="0" fillId="0" borderId="0" xfId="0" applyNumberFormat="1">
      <alignment vertical="center"/>
    </xf>
    <xf numFmtId="0" fontId="9" fillId="27" borderId="2" xfId="40" applyFont="1" applyFill="1" applyBorder="1" applyAlignment="1">
      <alignment horizontal="left"/>
    </xf>
    <xf numFmtId="182" fontId="9" fillId="6" borderId="2" xfId="40" applyNumberFormat="1" applyFont="1" applyFill="1" applyBorder="1" applyAlignment="1" applyProtection="1">
      <alignment horizontal="right" vertical="center"/>
    </xf>
    <xf numFmtId="182" fontId="9" fillId="8" borderId="2" xfId="40" applyNumberFormat="1" applyFont="1" applyFill="1" applyBorder="1" applyAlignment="1" applyProtection="1">
      <alignment horizontal="right" vertical="center"/>
    </xf>
    <xf numFmtId="182" fontId="9" fillId="6" borderId="4" xfId="40" applyNumberFormat="1" applyFont="1" applyFill="1" applyBorder="1" applyAlignment="1" applyProtection="1">
      <alignment horizontal="right" vertical="center"/>
      <protection locked="0"/>
    </xf>
    <xf numFmtId="182" fontId="9" fillId="6" borderId="2" xfId="40" applyNumberFormat="1" applyFont="1" applyFill="1" applyBorder="1" applyAlignment="1" applyProtection="1">
      <alignment horizontal="right" vertical="center"/>
      <protection locked="0"/>
    </xf>
    <xf numFmtId="182" fontId="0" fillId="0" borderId="0" xfId="0" applyNumberFormat="1">
      <alignment vertical="center"/>
    </xf>
    <xf numFmtId="0" fontId="9" fillId="2" borderId="65" xfId="40" applyFont="1" applyFill="1" applyBorder="1"/>
    <xf numFmtId="182" fontId="9" fillId="2" borderId="4" xfId="40" applyNumberFormat="1" applyFont="1" applyFill="1" applyBorder="1" applyAlignment="1" applyProtection="1">
      <alignment horizontal="right" vertical="center"/>
      <protection locked="0"/>
    </xf>
    <xf numFmtId="182" fontId="9" fillId="2" borderId="2" xfId="40" applyNumberFormat="1" applyFont="1" applyFill="1" applyBorder="1" applyAlignment="1" applyProtection="1">
      <alignment horizontal="right" vertical="center"/>
      <protection locked="0"/>
    </xf>
    <xf numFmtId="178" fontId="0" fillId="6" borderId="19" xfId="0" applyNumberFormat="1" applyFont="1" applyFill="1" applyBorder="1" applyProtection="1">
      <alignment vertical="center"/>
      <protection locked="0"/>
    </xf>
    <xf numFmtId="0" fontId="9" fillId="8" borderId="2" xfId="40" applyFont="1" applyFill="1" applyBorder="1" applyAlignment="1">
      <alignment horizontal="right" wrapText="1"/>
    </xf>
    <xf numFmtId="178" fontId="0" fillId="8" borderId="19" xfId="0" applyNumberFormat="1" applyFont="1" applyFill="1" applyBorder="1" applyProtection="1">
      <alignment vertical="center"/>
      <protection locked="0"/>
    </xf>
    <xf numFmtId="0" fontId="9" fillId="27" borderId="2" xfId="40" applyFont="1" applyFill="1" applyBorder="1" applyAlignment="1">
      <alignment horizontal="left" wrapText="1"/>
    </xf>
    <xf numFmtId="178" fontId="0" fillId="6" borderId="19" xfId="0" applyNumberFormat="1" applyFont="1" applyFill="1" applyBorder="1" applyAlignment="1" applyProtection="1">
      <alignment horizontal="right" vertical="center"/>
      <protection locked="0"/>
    </xf>
    <xf numFmtId="10" fontId="0" fillId="8" borderId="19" xfId="6" applyNumberFormat="1" applyFont="1" applyFill="1" applyBorder="1" applyAlignment="1" applyProtection="1">
      <alignment vertical="center"/>
      <protection locked="0"/>
    </xf>
    <xf numFmtId="190" fontId="0" fillId="8" borderId="19" xfId="0" applyNumberFormat="1" applyFont="1" applyFill="1" applyBorder="1" applyAlignment="1" applyProtection="1">
      <alignment vertical="center"/>
      <protection locked="0"/>
    </xf>
    <xf numFmtId="0" fontId="0" fillId="6" borderId="66" xfId="0" applyFont="1" applyFill="1" applyBorder="1" applyAlignment="1">
      <alignment vertical="center"/>
    </xf>
    <xf numFmtId="191" fontId="9" fillId="7" borderId="4" xfId="40" applyNumberFormat="1" applyFont="1" applyFill="1" applyBorder="1" applyAlignment="1" applyProtection="1">
      <alignment horizontal="right" vertical="center"/>
      <protection locked="0"/>
    </xf>
    <xf numFmtId="10" fontId="9" fillId="7" borderId="4" xfId="40" applyNumberFormat="1" applyFont="1" applyFill="1" applyBorder="1" applyAlignment="1" applyProtection="1">
      <alignment horizontal="right" vertical="center"/>
      <protection locked="0"/>
    </xf>
    <xf numFmtId="10" fontId="9" fillId="8" borderId="2" xfId="40" applyNumberFormat="1" applyFont="1" applyFill="1" applyBorder="1" applyAlignment="1">
      <alignment horizontal="right" vertical="center"/>
    </xf>
    <xf numFmtId="9" fontId="0" fillId="6" borderId="19" xfId="0" applyNumberFormat="1" applyFont="1" applyFill="1" applyBorder="1" applyAlignment="1" applyProtection="1">
      <alignment vertical="center"/>
      <protection locked="0"/>
    </xf>
    <xf numFmtId="0" fontId="0" fillId="7" borderId="44" xfId="0" applyFont="1" applyFill="1" applyBorder="1" applyAlignment="1">
      <alignment vertical="center"/>
    </xf>
    <xf numFmtId="0" fontId="9" fillId="8" borderId="21" xfId="40" applyFont="1" applyFill="1" applyBorder="1" applyAlignment="1">
      <alignment horizontal="justify" wrapText="1"/>
    </xf>
    <xf numFmtId="0" fontId="9" fillId="8" borderId="22" xfId="40" applyFont="1" applyFill="1" applyBorder="1" applyAlignment="1">
      <alignment horizontal="center" wrapText="1"/>
    </xf>
    <xf numFmtId="9" fontId="9" fillId="7" borderId="23" xfId="40" applyNumberFormat="1" applyFont="1" applyFill="1" applyBorder="1" applyAlignment="1" applyProtection="1">
      <alignment horizontal="right" vertical="center"/>
      <protection locked="0"/>
    </xf>
    <xf numFmtId="10" fontId="9" fillId="8" borderId="21" xfId="40" applyNumberFormat="1" applyFont="1" applyFill="1" applyBorder="1" applyAlignment="1">
      <alignment horizontal="right" vertical="center"/>
    </xf>
    <xf numFmtId="49" fontId="0" fillId="8" borderId="22" xfId="0" applyNumberFormat="1" applyFont="1" applyFill="1" applyBorder="1" applyAlignment="1" applyProtection="1">
      <alignment vertical="center"/>
      <protection locked="0"/>
    </xf>
    <xf numFmtId="185" fontId="13" fillId="6" borderId="2" xfId="85" quotePrefix="1" applyNumberFormat="1" applyFont="1" applyFill="1" applyBorder="1" applyAlignment="1">
      <alignment horizontal="left" vertical="center"/>
    </xf>
    <xf numFmtId="185" fontId="13" fillId="8" borderId="2" xfId="85" quotePrefix="1" applyNumberFormat="1" applyFont="1" applyFill="1" applyBorder="1" applyAlignment="1">
      <alignment horizontal="left" vertical="center"/>
    </xf>
    <xf numFmtId="0" fontId="1" fillId="0" borderId="0" xfId="40" applyFont="1" applyBorder="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2" fillId="0" borderId="2" xfId="60" applyFont="1" applyBorder="1" applyAlignment="1">
      <alignment horizontal="center" vertical="center" wrapText="1"/>
    </xf>
    <xf numFmtId="0" fontId="1" fillId="0" borderId="0" xfId="60" applyFont="1" applyBorder="1" applyAlignment="1">
      <alignment horizontal="left" vertical="center" wrapText="1"/>
    </xf>
    <xf numFmtId="0" fontId="4" fillId="0" borderId="1" xfId="0" applyFont="1" applyBorder="1" applyAlignment="1">
      <alignment horizontal="left" vertical="center" wrapText="1"/>
    </xf>
    <xf numFmtId="0" fontId="2" fillId="0" borderId="2" xfId="60" applyFont="1" applyBorder="1" applyAlignment="1">
      <alignment horizontal="left" vertical="center" wrapText="1"/>
    </xf>
    <xf numFmtId="0" fontId="2" fillId="0" borderId="6" xfId="60" applyFont="1" applyBorder="1" applyAlignment="1">
      <alignment horizontal="center" vertical="center" wrapText="1"/>
    </xf>
    <xf numFmtId="0" fontId="2" fillId="0" borderId="7" xfId="60" applyFont="1" applyBorder="1" applyAlignment="1">
      <alignment horizontal="center" vertical="center" wrapText="1"/>
    </xf>
    <xf numFmtId="0" fontId="2" fillId="0" borderId="8" xfId="60" applyFont="1" applyBorder="1" applyAlignment="1">
      <alignment horizontal="center" vertical="center" wrapText="1"/>
    </xf>
    <xf numFmtId="0" fontId="2" fillId="0" borderId="3" xfId="60" applyFont="1" applyBorder="1" applyAlignment="1">
      <alignment horizontal="left" vertical="center" wrapText="1"/>
    </xf>
    <xf numFmtId="0" fontId="2" fillId="0" borderId="5" xfId="60" applyFont="1" applyBorder="1" applyAlignment="1">
      <alignment horizontal="left" vertical="center" wrapText="1"/>
    </xf>
    <xf numFmtId="0" fontId="2" fillId="0" borderId="4" xfId="60" applyFont="1" applyBorder="1" applyAlignment="1">
      <alignment horizontal="left" vertical="center" wrapText="1"/>
    </xf>
    <xf numFmtId="0" fontId="2" fillId="0" borderId="2" xfId="60" applyFont="1" applyBorder="1" applyAlignment="1">
      <alignment horizontal="center" vertical="center"/>
    </xf>
    <xf numFmtId="0" fontId="2" fillId="0" borderId="6" xfId="60" applyFont="1" applyBorder="1" applyAlignment="1">
      <alignment horizontal="left" vertical="center"/>
    </xf>
    <xf numFmtId="0" fontId="2" fillId="0" borderId="7" xfId="60" applyFont="1" applyBorder="1" applyAlignment="1">
      <alignment horizontal="left" vertical="center"/>
    </xf>
    <xf numFmtId="0" fontId="2" fillId="0" borderId="8" xfId="60" applyFont="1" applyBorder="1" applyAlignment="1">
      <alignment horizontal="left" vertical="center"/>
    </xf>
    <xf numFmtId="0" fontId="2" fillId="0" borderId="3" xfId="60" applyFont="1" applyBorder="1" applyAlignment="1">
      <alignment horizontal="left" vertical="center"/>
    </xf>
    <xf numFmtId="0" fontId="2" fillId="0" borderId="5" xfId="60" applyFont="1" applyBorder="1" applyAlignment="1">
      <alignment horizontal="left" vertical="center"/>
    </xf>
    <xf numFmtId="0" fontId="2" fillId="0" borderId="4" xfId="60" applyFont="1" applyBorder="1" applyAlignment="1">
      <alignment horizontal="left" vertical="center"/>
    </xf>
    <xf numFmtId="0" fontId="9" fillId="8" borderId="3" xfId="86" applyFont="1" applyFill="1" applyBorder="1" applyAlignment="1">
      <alignment horizontal="left" vertical="center"/>
    </xf>
    <xf numFmtId="0" fontId="9" fillId="8" borderId="52" xfId="86" applyFont="1" applyFill="1" applyBorder="1" applyAlignment="1">
      <alignment horizontal="left" vertical="center"/>
    </xf>
    <xf numFmtId="0" fontId="9" fillId="6" borderId="28" xfId="86" applyFont="1" applyFill="1" applyBorder="1" applyAlignment="1">
      <alignment horizontal="left" vertical="center"/>
    </xf>
    <xf numFmtId="0" fontId="9" fillId="6" borderId="57" xfId="86" applyFont="1" applyFill="1" applyBorder="1" applyAlignment="1">
      <alignment horizontal="left" vertical="center"/>
    </xf>
    <xf numFmtId="0" fontId="9" fillId="8" borderId="6" xfId="86" applyFont="1" applyFill="1" applyBorder="1" applyAlignment="1">
      <alignment horizontal="center" vertical="center" textRotation="255"/>
    </xf>
    <xf numFmtId="0" fontId="9" fillId="8" borderId="7" xfId="86" applyFont="1" applyFill="1" applyBorder="1" applyAlignment="1">
      <alignment horizontal="center" vertical="center" textRotation="255"/>
    </xf>
    <xf numFmtId="0" fontId="9" fillId="8" borderId="8" xfId="86" applyFont="1" applyFill="1" applyBorder="1" applyAlignment="1">
      <alignment horizontal="center" vertical="center" textRotation="255"/>
    </xf>
    <xf numFmtId="0" fontId="9" fillId="6" borderId="6" xfId="86" applyFont="1" applyFill="1" applyBorder="1" applyAlignment="1">
      <alignment horizontal="center" vertical="center" textRotation="255" wrapText="1"/>
    </xf>
    <xf numFmtId="0" fontId="9" fillId="6" borderId="7" xfId="86" applyFont="1" applyFill="1" applyBorder="1" applyAlignment="1">
      <alignment horizontal="center" vertical="center" textRotation="255" wrapText="1"/>
    </xf>
    <xf numFmtId="0" fontId="9" fillId="6" borderId="8" xfId="86" applyFont="1" applyFill="1" applyBorder="1" applyAlignment="1">
      <alignment horizontal="center" vertical="center" textRotation="255" wrapText="1"/>
    </xf>
    <xf numFmtId="0" fontId="0" fillId="8" borderId="6" xfId="0" applyFill="1" applyBorder="1" applyAlignment="1">
      <alignment horizontal="center" vertical="center"/>
    </xf>
    <xf numFmtId="0" fontId="0" fillId="8" borderId="8" xfId="0" applyFill="1" applyBorder="1" applyAlignment="1">
      <alignment horizontal="center" vertical="center"/>
    </xf>
    <xf numFmtId="0" fontId="0" fillId="6" borderId="6" xfId="0" applyFill="1" applyBorder="1" applyAlignment="1">
      <alignment horizontal="center" vertical="center"/>
    </xf>
    <xf numFmtId="0" fontId="0" fillId="6" borderId="8" xfId="0" applyFill="1" applyBorder="1" applyAlignment="1">
      <alignment horizontal="center" vertical="center"/>
    </xf>
    <xf numFmtId="0" fontId="9" fillId="6" borderId="6" xfId="86" applyFont="1" applyFill="1" applyBorder="1" applyAlignment="1">
      <alignment horizontal="center" vertical="center"/>
    </xf>
    <xf numFmtId="0" fontId="9" fillId="6" borderId="7" xfId="86" applyFont="1" applyFill="1" applyBorder="1" applyAlignment="1">
      <alignment horizontal="center" vertical="center"/>
    </xf>
    <xf numFmtId="0" fontId="9" fillId="6" borderId="8" xfId="86" applyFont="1" applyFill="1" applyBorder="1" applyAlignment="1">
      <alignment horizontal="center" vertical="center"/>
    </xf>
    <xf numFmtId="0" fontId="9" fillId="8" borderId="6" xfId="86" applyFont="1" applyFill="1" applyBorder="1" applyAlignment="1">
      <alignment horizontal="center" vertical="center"/>
    </xf>
    <xf numFmtId="0" fontId="9" fillId="8" borderId="7" xfId="86" applyFont="1" applyFill="1" applyBorder="1" applyAlignment="1">
      <alignment horizontal="center" vertical="center"/>
    </xf>
    <xf numFmtId="0" fontId="9" fillId="8" borderId="8" xfId="86" applyFont="1" applyFill="1" applyBorder="1" applyAlignment="1">
      <alignment horizontal="center" vertical="center"/>
    </xf>
    <xf numFmtId="0" fontId="17" fillId="10" borderId="15" xfId="0" applyNumberFormat="1" applyFont="1" applyFill="1" applyBorder="1" applyAlignment="1">
      <alignment horizontal="center" vertical="center"/>
    </xf>
    <xf numFmtId="0" fontId="17" fillId="10" borderId="16" xfId="0" applyNumberFormat="1" applyFont="1" applyFill="1" applyBorder="1" applyAlignment="1">
      <alignment horizontal="center" vertical="center"/>
    </xf>
    <xf numFmtId="0" fontId="9" fillId="6" borderId="14" xfId="86" applyFont="1" applyFill="1" applyBorder="1" applyAlignment="1">
      <alignment horizontal="left" vertical="center"/>
    </xf>
    <xf numFmtId="0" fontId="9" fillId="6" borderId="15" xfId="86" applyFont="1" applyFill="1" applyBorder="1" applyAlignment="1">
      <alignment horizontal="left" vertical="center"/>
    </xf>
    <xf numFmtId="0" fontId="1" fillId="0" borderId="0" xfId="87" applyFont="1" applyBorder="1" applyAlignment="1">
      <alignment horizontal="left" vertical="center"/>
    </xf>
    <xf numFmtId="0" fontId="0" fillId="0" borderId="0" xfId="0" applyAlignment="1">
      <alignment horizontal="left" vertical="center"/>
    </xf>
    <xf numFmtId="0" fontId="0" fillId="0" borderId="0" xfId="0" applyBorder="1" applyAlignment="1">
      <alignment horizontal="left" vertical="center"/>
    </xf>
    <xf numFmtId="0" fontId="13" fillId="5" borderId="14" xfId="86" applyFont="1" applyFill="1" applyBorder="1" applyAlignment="1">
      <alignment horizontal="left" vertical="center"/>
    </xf>
    <xf numFmtId="0" fontId="13" fillId="5" borderId="15" xfId="86" applyFont="1" applyFill="1" applyBorder="1" applyAlignment="1">
      <alignment horizontal="left" vertical="center"/>
    </xf>
    <xf numFmtId="0" fontId="13" fillId="5" borderId="20" xfId="86" applyFont="1" applyFill="1" applyBorder="1" applyAlignment="1">
      <alignment horizontal="left" vertical="center"/>
    </xf>
    <xf numFmtId="0" fontId="13" fillId="5" borderId="21" xfId="86" applyFont="1" applyFill="1" applyBorder="1" applyAlignment="1">
      <alignment horizontal="left" vertical="center"/>
    </xf>
    <xf numFmtId="0" fontId="13" fillId="10" borderId="15" xfId="87" applyNumberFormat="1" applyFont="1" applyFill="1" applyBorder="1" applyAlignment="1">
      <alignment horizontal="center" vertical="center"/>
    </xf>
    <xf numFmtId="1"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2"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0" fillId="0" borderId="2" xfId="0" applyBorder="1" applyAlignment="1">
      <alignment horizontal="left" vertical="center" wrapText="1"/>
    </xf>
    <xf numFmtId="0" fontId="0" fillId="0" borderId="2" xfId="0" applyFont="1" applyBorder="1" applyAlignment="1">
      <alignment horizontal="left" vertical="center" wrapText="1"/>
    </xf>
    <xf numFmtId="0" fontId="0" fillId="0" borderId="0" xfId="0" applyAlignment="1">
      <alignment vertical="center"/>
    </xf>
    <xf numFmtId="0" fontId="0" fillId="0" borderId="0" xfId="0" applyBorder="1" applyAlignment="1">
      <alignment vertical="center"/>
    </xf>
    <xf numFmtId="0" fontId="9" fillId="6" borderId="2" xfId="87" applyFont="1" applyFill="1" applyBorder="1" applyAlignment="1">
      <alignment horizontal="center" vertical="center" wrapText="1"/>
    </xf>
    <xf numFmtId="0" fontId="0" fillId="6" borderId="2" xfId="0" applyFill="1" applyBorder="1" applyAlignment="1">
      <alignment vertical="center" wrapText="1"/>
    </xf>
    <xf numFmtId="0" fontId="9" fillId="8" borderId="2" xfId="87" applyFont="1" applyFill="1" applyBorder="1" applyAlignment="1">
      <alignment horizontal="center" vertical="center" wrapText="1"/>
    </xf>
    <xf numFmtId="0" fontId="9" fillId="6" borderId="6" xfId="87" applyFont="1" applyFill="1" applyBorder="1" applyAlignment="1">
      <alignment horizontal="center" vertical="center" textRotation="255" wrapText="1"/>
    </xf>
    <xf numFmtId="0" fontId="9" fillId="6" borderId="7" xfId="87" applyFont="1" applyFill="1" applyBorder="1" applyAlignment="1">
      <alignment horizontal="center" vertical="center" textRotation="255" wrapText="1"/>
    </xf>
    <xf numFmtId="0" fontId="9" fillId="6" borderId="8" xfId="87" applyFont="1" applyFill="1" applyBorder="1" applyAlignment="1">
      <alignment horizontal="center" vertical="center" textRotation="255" wrapText="1"/>
    </xf>
    <xf numFmtId="178" fontId="13" fillId="5" borderId="2" xfId="87" applyNumberFormat="1" applyFont="1" applyFill="1" applyBorder="1" applyAlignment="1">
      <alignment horizontal="left" vertical="center"/>
    </xf>
    <xf numFmtId="0" fontId="0" fillId="0" borderId="2" xfId="0" applyBorder="1">
      <alignment vertical="center"/>
    </xf>
    <xf numFmtId="0" fontId="13" fillId="5" borderId="2" xfId="87" applyFont="1" applyFill="1" applyBorder="1" applyAlignment="1">
      <alignment horizontal="left" vertical="center"/>
    </xf>
    <xf numFmtId="0" fontId="34" fillId="8" borderId="2" xfId="0" applyFont="1" applyFill="1" applyBorder="1" applyAlignment="1">
      <alignment horizontal="center" vertical="center" wrapText="1"/>
    </xf>
    <xf numFmtId="0" fontId="0" fillId="8" borderId="2" xfId="0" applyFill="1" applyBorder="1" applyAlignment="1">
      <alignment vertical="center" wrapText="1"/>
    </xf>
    <xf numFmtId="0" fontId="13" fillId="10" borderId="2" xfId="87" applyNumberFormat="1" applyFont="1" applyFill="1" applyBorder="1" applyAlignment="1">
      <alignment horizontal="center" vertical="center"/>
    </xf>
    <xf numFmtId="0" fontId="13" fillId="6" borderId="6" xfId="87" applyFont="1" applyFill="1" applyBorder="1" applyAlignment="1">
      <alignment horizontal="center" vertical="center"/>
    </xf>
    <xf numFmtId="0" fontId="13" fillId="6" borderId="7" xfId="87" applyFont="1" applyFill="1" applyBorder="1" applyAlignment="1">
      <alignment horizontal="center" vertical="center"/>
    </xf>
    <xf numFmtId="0" fontId="13" fillId="6" borderId="8" xfId="87" applyFont="1" applyFill="1" applyBorder="1" applyAlignment="1">
      <alignment horizontal="center" vertical="center"/>
    </xf>
    <xf numFmtId="0" fontId="13" fillId="8" borderId="40" xfId="87" applyFont="1" applyFill="1" applyBorder="1" applyAlignment="1">
      <alignment horizontal="center" vertical="center"/>
    </xf>
    <xf numFmtId="0" fontId="13" fillId="8" borderId="60" xfId="87" applyFont="1" applyFill="1" applyBorder="1" applyAlignment="1">
      <alignment horizontal="center" vertical="center"/>
    </xf>
    <xf numFmtId="0" fontId="13" fillId="8" borderId="64" xfId="87" applyFont="1" applyFill="1" applyBorder="1" applyAlignment="1">
      <alignment horizontal="center" vertical="center"/>
    </xf>
    <xf numFmtId="0" fontId="0" fillId="8" borderId="2" xfId="0" applyFont="1" applyFill="1" applyBorder="1" applyAlignment="1">
      <alignment horizontal="center" vertical="center" textRotation="255" wrapText="1"/>
    </xf>
    <xf numFmtId="0" fontId="0" fillId="6" borderId="2" xfId="0" applyFill="1" applyBorder="1" applyAlignment="1">
      <alignment horizontal="center" vertical="center" textRotation="255" wrapText="1"/>
    </xf>
    <xf numFmtId="0" fontId="9" fillId="6" borderId="2" xfId="87" applyFont="1" applyFill="1" applyBorder="1" applyAlignment="1">
      <alignment horizontal="center" vertical="center" textRotation="255" wrapText="1"/>
    </xf>
    <xf numFmtId="0" fontId="9" fillId="8" borderId="6" xfId="87" applyFont="1" applyFill="1" applyBorder="1" applyAlignment="1">
      <alignment horizontal="center" vertical="center" textRotation="255" wrapText="1"/>
    </xf>
    <xf numFmtId="0" fontId="9" fillId="8" borderId="7" xfId="87" applyFont="1" applyFill="1" applyBorder="1" applyAlignment="1">
      <alignment horizontal="center" vertical="center" textRotation="255" wrapText="1"/>
    </xf>
    <xf numFmtId="0" fontId="9" fillId="8" borderId="8" xfId="87" applyFont="1" applyFill="1" applyBorder="1" applyAlignment="1">
      <alignment horizontal="center" vertical="center" textRotation="255" wrapText="1"/>
    </xf>
    <xf numFmtId="0" fontId="0" fillId="6" borderId="58" xfId="0" applyFill="1" applyBorder="1" applyAlignment="1">
      <alignment horizontal="center" vertical="center" textRotation="255" wrapText="1"/>
    </xf>
    <xf numFmtId="0" fontId="0" fillId="6" borderId="40" xfId="0" applyFill="1" applyBorder="1" applyAlignment="1">
      <alignment horizontal="center" vertical="center" textRotation="255" wrapText="1"/>
    </xf>
    <xf numFmtId="0" fontId="0" fillId="6" borderId="59" xfId="0" applyFill="1" applyBorder="1" applyAlignment="1">
      <alignment horizontal="center" vertical="center" textRotation="255" wrapText="1"/>
    </xf>
    <xf numFmtId="0" fontId="0" fillId="6" borderId="60" xfId="0" applyFill="1" applyBorder="1" applyAlignment="1">
      <alignment horizontal="center" vertical="center" textRotation="255" wrapText="1"/>
    </xf>
    <xf numFmtId="0" fontId="0" fillId="6" borderId="61" xfId="0" applyFill="1" applyBorder="1" applyAlignment="1">
      <alignment horizontal="center" vertical="center" textRotation="255" wrapText="1"/>
    </xf>
    <xf numFmtId="0" fontId="0" fillId="6" borderId="62" xfId="0" applyFill="1" applyBorder="1" applyAlignment="1">
      <alignment horizontal="center" vertical="center" textRotation="255" wrapText="1"/>
    </xf>
    <xf numFmtId="0" fontId="13" fillId="8" borderId="58" xfId="87" applyFont="1" applyFill="1" applyBorder="1" applyAlignment="1">
      <alignment horizontal="center" vertical="center" wrapText="1"/>
    </xf>
    <xf numFmtId="0" fontId="13" fillId="8" borderId="40" xfId="87" applyFont="1" applyFill="1" applyBorder="1" applyAlignment="1">
      <alignment horizontal="center" vertical="center" wrapText="1"/>
    </xf>
    <xf numFmtId="0" fontId="13" fillId="8" borderId="59" xfId="87" applyFont="1" applyFill="1" applyBorder="1" applyAlignment="1">
      <alignment horizontal="center" vertical="center" wrapText="1"/>
    </xf>
    <xf numFmtId="0" fontId="13" fillId="8" borderId="60" xfId="87" applyFont="1" applyFill="1" applyBorder="1" applyAlignment="1">
      <alignment horizontal="center" vertical="center" wrapText="1"/>
    </xf>
    <xf numFmtId="0" fontId="13" fillId="8" borderId="61" xfId="87" applyFont="1" applyFill="1" applyBorder="1" applyAlignment="1">
      <alignment horizontal="center" vertical="center" wrapText="1"/>
    </xf>
    <xf numFmtId="0" fontId="13" fillId="8" borderId="62" xfId="87" applyFont="1" applyFill="1" applyBorder="1" applyAlignment="1">
      <alignment horizontal="center" vertical="center" wrapText="1"/>
    </xf>
    <xf numFmtId="0" fontId="13" fillId="6" borderId="58" xfId="87" applyFont="1" applyFill="1" applyBorder="1" applyAlignment="1">
      <alignment horizontal="center" vertical="center" wrapText="1"/>
    </xf>
    <xf numFmtId="0" fontId="13" fillId="6" borderId="40" xfId="87" applyFont="1" applyFill="1" applyBorder="1" applyAlignment="1">
      <alignment horizontal="center" vertical="center" wrapText="1"/>
    </xf>
    <xf numFmtId="0" fontId="13" fillId="6" borderId="59" xfId="87" applyFont="1" applyFill="1" applyBorder="1" applyAlignment="1">
      <alignment horizontal="center" vertical="center" wrapText="1"/>
    </xf>
    <xf numFmtId="0" fontId="13" fillId="6" borderId="60" xfId="87" applyFont="1" applyFill="1" applyBorder="1" applyAlignment="1">
      <alignment horizontal="center" vertical="center" wrapText="1"/>
    </xf>
    <xf numFmtId="0" fontId="13" fillId="6" borderId="55" xfId="87" applyFont="1" applyFill="1" applyBorder="1" applyAlignment="1">
      <alignment horizontal="center" vertical="center" wrapText="1"/>
    </xf>
    <xf numFmtId="0" fontId="13" fillId="6" borderId="63" xfId="87" applyFont="1" applyFill="1" applyBorder="1" applyAlignment="1">
      <alignment horizontal="center" vertical="center" wrapText="1"/>
    </xf>
    <xf numFmtId="0" fontId="13" fillId="6" borderId="61" xfId="87" applyFont="1" applyFill="1" applyBorder="1" applyAlignment="1">
      <alignment horizontal="center" vertical="center" wrapText="1"/>
    </xf>
    <xf numFmtId="0" fontId="13" fillId="6" borderId="62" xfId="87" applyFont="1" applyFill="1" applyBorder="1" applyAlignment="1">
      <alignment horizontal="center" vertical="center" wrapText="1"/>
    </xf>
    <xf numFmtId="0" fontId="0" fillId="8" borderId="2" xfId="0" applyFill="1" applyBorder="1" applyAlignment="1">
      <alignment horizontal="center" vertical="center" wrapText="1"/>
    </xf>
    <xf numFmtId="0" fontId="0" fillId="6" borderId="2" xfId="0" applyFill="1" applyBorder="1" applyAlignment="1">
      <alignment horizontal="center" vertical="center" wrapText="1"/>
    </xf>
    <xf numFmtId="0" fontId="0" fillId="8" borderId="6" xfId="0" applyFill="1" applyBorder="1" applyAlignment="1">
      <alignment horizontal="center" vertical="center" textRotation="255" wrapText="1"/>
    </xf>
    <xf numFmtId="0" fontId="0" fillId="8" borderId="7" xfId="0" applyFill="1" applyBorder="1" applyAlignment="1">
      <alignment horizontal="center" vertical="center" textRotation="255" wrapText="1"/>
    </xf>
    <xf numFmtId="0" fontId="0" fillId="8" borderId="8" xfId="0" applyFill="1" applyBorder="1" applyAlignment="1">
      <alignment horizontal="center" vertical="center" textRotation="255"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58" xfId="0" applyFill="1" applyBorder="1" applyAlignment="1">
      <alignment horizontal="center" vertical="center" wrapText="1"/>
    </xf>
    <xf numFmtId="0" fontId="0" fillId="6" borderId="40" xfId="0" applyFill="1" applyBorder="1" applyAlignment="1">
      <alignment horizontal="center" vertical="center" wrapText="1"/>
    </xf>
    <xf numFmtId="2" fontId="9" fillId="6" borderId="2" xfId="87" applyNumberFormat="1" applyFont="1" applyFill="1" applyBorder="1" applyAlignment="1">
      <alignment horizontal="left" vertical="center" wrapText="1"/>
    </xf>
    <xf numFmtId="0" fontId="13" fillId="8" borderId="2" xfId="87" applyFont="1" applyFill="1" applyBorder="1" applyAlignment="1">
      <alignment vertical="center" wrapText="1"/>
    </xf>
    <xf numFmtId="0" fontId="13" fillId="6" borderId="21" xfId="87" applyFont="1" applyFill="1" applyBorder="1" applyAlignment="1">
      <alignment vertical="center" wrapText="1"/>
    </xf>
    <xf numFmtId="0" fontId="13" fillId="6" borderId="28" xfId="87" applyFont="1" applyFill="1" applyBorder="1" applyAlignment="1">
      <alignment horizontal="center" vertical="center" wrapText="1"/>
    </xf>
    <xf numFmtId="0" fontId="13" fillId="6" borderId="23" xfId="87" applyFont="1" applyFill="1" applyBorder="1" applyAlignment="1">
      <alignment horizontal="center" vertical="center" wrapText="1"/>
    </xf>
    <xf numFmtId="0" fontId="17" fillId="10" borderId="2" xfId="0" applyNumberFormat="1" applyFont="1" applyFill="1" applyBorder="1" applyAlignment="1">
      <alignment horizontal="center" vertical="center"/>
    </xf>
    <xf numFmtId="0" fontId="17" fillId="10" borderId="17" xfId="0" applyNumberFormat="1" applyFont="1" applyFill="1" applyBorder="1" applyAlignment="1">
      <alignment horizontal="center" vertical="center"/>
    </xf>
    <xf numFmtId="49" fontId="13" fillId="6" borderId="2" xfId="87" applyNumberFormat="1" applyFont="1" applyFill="1" applyBorder="1" applyAlignment="1">
      <alignment horizontal="left" vertical="center"/>
    </xf>
    <xf numFmtId="0" fontId="0" fillId="0" borderId="2" xfId="0" applyBorder="1" applyAlignment="1">
      <alignment vertical="center"/>
    </xf>
    <xf numFmtId="0" fontId="13" fillId="5" borderId="55" xfId="5" applyFont="1" applyFill="1" applyBorder="1" applyAlignment="1">
      <alignment horizontal="center" vertical="center" wrapText="1"/>
    </xf>
    <xf numFmtId="0" fontId="0" fillId="5" borderId="56" xfId="0" applyFont="1" applyFill="1" applyBorder="1" applyAlignment="1">
      <alignment horizontal="center" vertical="center" wrapText="1"/>
    </xf>
    <xf numFmtId="0" fontId="30" fillId="21" borderId="2" xfId="86" applyFont="1" applyFill="1" applyBorder="1" applyAlignment="1">
      <alignment horizontal="left" vertical="center"/>
    </xf>
    <xf numFmtId="0" fontId="30" fillId="21" borderId="19" xfId="86" applyFont="1" applyFill="1" applyBorder="1" applyAlignment="1">
      <alignment horizontal="left" vertical="center"/>
    </xf>
    <xf numFmtId="0" fontId="30" fillId="8" borderId="2" xfId="86" applyFont="1" applyFill="1" applyBorder="1" applyAlignment="1">
      <alignment horizontal="left" vertical="center"/>
    </xf>
    <xf numFmtId="0" fontId="30" fillId="8" borderId="19" xfId="86" applyFont="1" applyFill="1" applyBorder="1" applyAlignment="1">
      <alignment horizontal="left" vertical="center"/>
    </xf>
    <xf numFmtId="0" fontId="30" fillId="6" borderId="28" xfId="86" applyFont="1" applyFill="1" applyBorder="1" applyAlignment="1">
      <alignment horizontal="left" vertical="center"/>
    </xf>
    <xf numFmtId="0" fontId="30" fillId="6" borderId="57" xfId="86" applyFont="1" applyFill="1" applyBorder="1" applyAlignment="1">
      <alignment horizontal="left" vertical="center"/>
    </xf>
    <xf numFmtId="0" fontId="27" fillId="5" borderId="42" xfId="5" applyFont="1" applyFill="1" applyBorder="1" applyAlignment="1">
      <alignment horizontal="left" vertical="center"/>
    </xf>
    <xf numFmtId="0" fontId="28" fillId="5" borderId="44" xfId="0" applyFont="1" applyFill="1" applyBorder="1" applyAlignment="1">
      <alignment horizontal="left" vertical="center"/>
    </xf>
    <xf numFmtId="0" fontId="30" fillId="6" borderId="43" xfId="5" applyFont="1" applyFill="1" applyBorder="1" applyAlignment="1">
      <alignment horizontal="center" vertical="center"/>
    </xf>
    <xf numFmtId="0" fontId="30" fillId="6" borderId="7" xfId="5" applyFont="1" applyFill="1" applyBorder="1" applyAlignment="1">
      <alignment horizontal="center" vertical="center"/>
    </xf>
    <xf numFmtId="0" fontId="30" fillId="6" borderId="8" xfId="5" applyFont="1" applyFill="1" applyBorder="1" applyAlignment="1">
      <alignment horizontal="center" vertical="center"/>
    </xf>
    <xf numFmtId="0" fontId="30" fillId="8" borderId="6" xfId="5" applyFont="1" applyFill="1" applyBorder="1" applyAlignment="1">
      <alignment horizontal="center" vertical="center"/>
    </xf>
    <xf numFmtId="0" fontId="30" fillId="8" borderId="7" xfId="5" applyFont="1" applyFill="1" applyBorder="1" applyAlignment="1">
      <alignment horizontal="center" vertical="center"/>
    </xf>
    <xf numFmtId="0" fontId="30" fillId="8" borderId="8" xfId="5" applyFont="1" applyFill="1" applyBorder="1" applyAlignment="1">
      <alignment horizontal="center" vertical="center"/>
    </xf>
    <xf numFmtId="0" fontId="28" fillId="6" borderId="6" xfId="0" applyFont="1" applyFill="1" applyBorder="1" applyAlignment="1">
      <alignment horizontal="center" vertical="center"/>
    </xf>
    <xf numFmtId="0" fontId="28" fillId="6" borderId="7" xfId="0" applyFont="1" applyFill="1" applyBorder="1" applyAlignment="1">
      <alignment horizontal="center" vertical="center"/>
    </xf>
    <xf numFmtId="0" fontId="28" fillId="6" borderId="8" xfId="0" applyFont="1" applyFill="1" applyBorder="1" applyAlignment="1">
      <alignment horizontal="center" vertical="center"/>
    </xf>
    <xf numFmtId="0" fontId="27" fillId="5" borderId="55" xfId="5" applyFont="1" applyFill="1" applyBorder="1" applyAlignment="1">
      <alignment horizontal="left" vertical="center"/>
    </xf>
    <xf numFmtId="0" fontId="28" fillId="5" borderId="56" xfId="0" applyFont="1" applyFill="1" applyBorder="1" applyAlignment="1">
      <alignment horizontal="left" vertical="center"/>
    </xf>
    <xf numFmtId="0" fontId="30" fillId="6" borderId="43" xfId="5" applyFont="1" applyFill="1" applyBorder="1" applyAlignment="1">
      <alignment horizontal="center" vertical="center" textRotation="255"/>
    </xf>
    <xf numFmtId="0" fontId="30" fillId="6" borderId="7" xfId="5" applyFont="1" applyFill="1" applyBorder="1" applyAlignment="1">
      <alignment horizontal="center" vertical="center" textRotation="255"/>
    </xf>
    <xf numFmtId="0" fontId="30" fillId="6" borderId="8" xfId="5" applyFont="1" applyFill="1" applyBorder="1" applyAlignment="1">
      <alignment horizontal="center" vertical="center" textRotation="255"/>
    </xf>
    <xf numFmtId="0" fontId="30" fillId="8" borderId="6" xfId="5" applyFont="1" applyFill="1" applyBorder="1" applyAlignment="1">
      <alignment horizontal="center" vertical="center" textRotation="255"/>
    </xf>
    <xf numFmtId="0" fontId="30" fillId="8" borderId="7" xfId="5" applyFont="1" applyFill="1" applyBorder="1" applyAlignment="1">
      <alignment horizontal="center" vertical="center" textRotation="255"/>
    </xf>
    <xf numFmtId="0" fontId="30" fillId="8" borderId="8" xfId="5" applyFont="1" applyFill="1" applyBorder="1" applyAlignment="1">
      <alignment horizontal="center" vertical="center" textRotation="255"/>
    </xf>
    <xf numFmtId="0" fontId="28" fillId="6" borderId="6" xfId="0" applyFont="1" applyFill="1" applyBorder="1" applyAlignment="1">
      <alignment horizontal="center" vertical="center" textRotation="255"/>
    </xf>
    <xf numFmtId="0" fontId="28" fillId="6" borderId="7" xfId="0" applyFont="1" applyFill="1" applyBorder="1" applyAlignment="1">
      <alignment horizontal="center" vertical="center" textRotation="255"/>
    </xf>
    <xf numFmtId="0" fontId="28" fillId="6" borderId="8" xfId="0" applyFont="1" applyFill="1" applyBorder="1" applyAlignment="1">
      <alignment horizontal="center" vertical="center" textRotation="255"/>
    </xf>
    <xf numFmtId="0" fontId="27" fillId="5" borderId="42" xfId="5" applyFont="1" applyFill="1" applyBorder="1" applyAlignment="1">
      <alignment horizontal="center" vertical="center"/>
    </xf>
    <xf numFmtId="0" fontId="28" fillId="5" borderId="44" xfId="0" applyFont="1" applyFill="1" applyBorder="1" applyAlignment="1">
      <alignment horizontal="center" vertical="center"/>
    </xf>
    <xf numFmtId="0" fontId="27" fillId="5" borderId="43" xfId="5" applyFont="1" applyFill="1" applyBorder="1" applyAlignment="1">
      <alignment horizontal="center" vertical="center"/>
    </xf>
    <xf numFmtId="0" fontId="28" fillId="5" borderId="45" xfId="0" applyFont="1" applyFill="1" applyBorder="1" applyAlignment="1">
      <alignment horizontal="center" vertical="center"/>
    </xf>
    <xf numFmtId="0" fontId="30" fillId="6" borderId="2" xfId="86" applyFont="1" applyFill="1" applyBorder="1" applyAlignment="1">
      <alignment horizontal="left" vertical="center"/>
    </xf>
    <xf numFmtId="0" fontId="28" fillId="6" borderId="2" xfId="0" applyFont="1" applyFill="1" applyBorder="1" applyAlignment="1">
      <alignment horizontal="left" vertical="center"/>
    </xf>
    <xf numFmtId="0" fontId="28" fillId="6" borderId="19" xfId="0" applyFont="1" applyFill="1" applyBorder="1" applyAlignment="1">
      <alignment horizontal="left" vertical="center"/>
    </xf>
    <xf numFmtId="0" fontId="28" fillId="8" borderId="2" xfId="0" applyFont="1" applyFill="1" applyBorder="1" applyAlignment="1">
      <alignment horizontal="left" vertical="center"/>
    </xf>
    <xf numFmtId="0" fontId="28" fillId="8" borderId="19" xfId="0" applyFont="1" applyFill="1" applyBorder="1" applyAlignment="1">
      <alignment horizontal="left" vertical="center"/>
    </xf>
    <xf numFmtId="0" fontId="30" fillId="21" borderId="2" xfId="5" applyFont="1" applyFill="1" applyBorder="1" applyAlignment="1">
      <alignment horizontal="left" vertical="center"/>
    </xf>
    <xf numFmtId="0" fontId="27" fillId="5" borderId="43" xfId="5" applyFont="1" applyFill="1" applyBorder="1" applyAlignment="1">
      <alignment horizontal="center" vertical="center" wrapText="1"/>
    </xf>
    <xf numFmtId="0" fontId="28" fillId="5" borderId="45" xfId="0" applyFont="1" applyFill="1" applyBorder="1" applyAlignment="1">
      <alignment horizontal="center" vertical="center" wrapText="1"/>
    </xf>
    <xf numFmtId="0" fontId="28" fillId="0" borderId="45" xfId="0" applyFont="1" applyBorder="1" applyAlignment="1">
      <alignment horizontal="center" vertical="center" wrapText="1"/>
    </xf>
    <xf numFmtId="0" fontId="13" fillId="5" borderId="43" xfId="5" applyFont="1" applyFill="1" applyBorder="1" applyAlignment="1">
      <alignment horizontal="center" vertical="center" wrapText="1"/>
    </xf>
    <xf numFmtId="0" fontId="0" fillId="0" borderId="45" xfId="0" applyBorder="1" applyAlignment="1">
      <alignment horizontal="center" vertical="center" wrapText="1"/>
    </xf>
    <xf numFmtId="0" fontId="13" fillId="5" borderId="43" xfId="5" applyFont="1" applyFill="1" applyBorder="1" applyAlignment="1">
      <alignment horizontal="left" vertical="center"/>
    </xf>
    <xf numFmtId="0" fontId="0" fillId="5" borderId="45" xfId="0" applyFont="1" applyFill="1" applyBorder="1" applyAlignment="1">
      <alignment horizontal="left" vertical="center"/>
    </xf>
    <xf numFmtId="0" fontId="23" fillId="5" borderId="43" xfId="5" applyFont="1" applyFill="1" applyBorder="1" applyAlignment="1">
      <alignment horizontal="left" vertical="center" wrapText="1"/>
    </xf>
    <xf numFmtId="0" fontId="31" fillId="5" borderId="45" xfId="0" applyFont="1" applyFill="1" applyBorder="1" applyAlignment="1">
      <alignment horizontal="left" vertical="center" wrapText="1"/>
    </xf>
    <xf numFmtId="0" fontId="17" fillId="5" borderId="27" xfId="0" applyFont="1" applyFill="1" applyBorder="1" applyAlignment="1">
      <alignment horizontal="left" vertical="center"/>
    </xf>
    <xf numFmtId="0" fontId="17" fillId="5" borderId="36" xfId="0" applyFont="1" applyFill="1" applyBorder="1" applyAlignment="1">
      <alignment horizontal="left" vertical="center"/>
    </xf>
    <xf numFmtId="0" fontId="17" fillId="5" borderId="17" xfId="0" applyFont="1" applyFill="1" applyBorder="1" applyAlignment="1">
      <alignment horizontal="left" vertical="center"/>
    </xf>
    <xf numFmtId="0" fontId="16" fillId="5" borderId="14" xfId="29" applyFont="1" applyFill="1" applyBorder="1" applyAlignment="1">
      <alignment horizontal="center" vertical="center" wrapText="1"/>
    </xf>
    <xf numFmtId="0" fontId="16" fillId="5" borderId="18" xfId="29" applyFont="1" applyFill="1" applyBorder="1" applyAlignment="1">
      <alignment horizontal="center" vertical="center" wrapText="1"/>
    </xf>
    <xf numFmtId="0" fontId="16" fillId="5" borderId="15" xfId="29" applyFont="1" applyFill="1" applyBorder="1" applyAlignment="1">
      <alignment horizontal="center" vertical="center" wrapText="1"/>
    </xf>
    <xf numFmtId="0" fontId="16" fillId="5" borderId="2" xfId="29" applyFont="1" applyFill="1" applyBorder="1" applyAlignment="1">
      <alignment horizontal="center" vertical="center" wrapText="1"/>
    </xf>
    <xf numFmtId="0" fontId="1" fillId="0" borderId="0" xfId="29" applyFont="1" applyBorder="1" applyAlignment="1">
      <alignment horizontal="left" vertical="center"/>
    </xf>
    <xf numFmtId="0" fontId="1" fillId="0" borderId="0" xfId="3" applyNumberFormat="1" applyFont="1" applyAlignment="1">
      <alignment horizontal="left" vertical="center"/>
    </xf>
    <xf numFmtId="0" fontId="5" fillId="6" borderId="18" xfId="3" applyNumberFormat="1" applyFont="1" applyFill="1" applyBorder="1" applyAlignment="1">
      <alignment horizontal="justify" vertical="center" wrapText="1"/>
    </xf>
    <xf numFmtId="0" fontId="5" fillId="6" borderId="19" xfId="3" applyNumberFormat="1" applyFont="1" applyFill="1" applyBorder="1" applyAlignment="1">
      <alignment horizontal="justify" vertical="center" wrapText="1"/>
    </xf>
    <xf numFmtId="0" fontId="5" fillId="8" borderId="18" xfId="3" applyNumberFormat="1" applyFont="1" applyFill="1" applyBorder="1" applyAlignment="1">
      <alignment horizontal="justify" vertical="center" wrapText="1"/>
    </xf>
    <xf numFmtId="0" fontId="5" fillId="8" borderId="19" xfId="3" applyNumberFormat="1" applyFont="1" applyFill="1" applyBorder="1" applyAlignment="1">
      <alignment horizontal="justify" vertical="center" wrapText="1"/>
    </xf>
    <xf numFmtId="0" fontId="5" fillId="6" borderId="51" xfId="3" applyNumberFormat="1" applyFont="1" applyFill="1" applyBorder="1" applyAlignment="1">
      <alignment horizontal="justify" vertical="center" wrapText="1"/>
    </xf>
    <xf numFmtId="0" fontId="5" fillId="6" borderId="52" xfId="3" applyNumberFormat="1" applyFont="1" applyFill="1" applyBorder="1" applyAlignment="1">
      <alignment horizontal="justify" vertical="center" wrapText="1"/>
    </xf>
    <xf numFmtId="0" fontId="5" fillId="8" borderId="51" xfId="3" applyNumberFormat="1" applyFont="1" applyFill="1" applyBorder="1" applyAlignment="1">
      <alignment horizontal="justify" vertical="center" wrapText="1"/>
    </xf>
    <xf numFmtId="0" fontId="5" fillId="8" borderId="52" xfId="3" applyNumberFormat="1" applyFont="1" applyFill="1" applyBorder="1" applyAlignment="1">
      <alignment horizontal="justify" vertical="center" wrapText="1"/>
    </xf>
    <xf numFmtId="0" fontId="16" fillId="5" borderId="12" xfId="3" applyNumberFormat="1" applyFont="1" applyFill="1" applyBorder="1" applyAlignment="1">
      <alignment vertical="center" wrapText="1"/>
    </xf>
    <xf numFmtId="0" fontId="16" fillId="5" borderId="13" xfId="3" applyNumberFormat="1" applyFont="1" applyFill="1" applyBorder="1" applyAlignment="1">
      <alignment vertical="center" wrapText="1"/>
    </xf>
    <xf numFmtId="0" fontId="5" fillId="6" borderId="14" xfId="3" applyNumberFormat="1" applyFont="1" applyFill="1" applyBorder="1" applyAlignment="1">
      <alignment vertical="center" wrapText="1"/>
    </xf>
    <xf numFmtId="0" fontId="5" fillId="6" borderId="16" xfId="3" applyNumberFormat="1" applyFont="1" applyFill="1" applyBorder="1" applyAlignment="1">
      <alignment vertical="center" wrapText="1"/>
    </xf>
    <xf numFmtId="0" fontId="5" fillId="8" borderId="48" xfId="3" applyNumberFormat="1" applyFont="1" applyFill="1" applyBorder="1" applyAlignment="1">
      <alignment vertical="center" wrapText="1"/>
    </xf>
    <xf numFmtId="0" fontId="5" fillId="8" borderId="49" xfId="3" applyNumberFormat="1" applyFont="1" applyFill="1" applyBorder="1" applyAlignment="1">
      <alignment vertical="center" wrapText="1"/>
    </xf>
    <xf numFmtId="0" fontId="5" fillId="6" borderId="18" xfId="3" applyNumberFormat="1" applyFont="1" applyFill="1" applyBorder="1" applyAlignment="1">
      <alignment vertical="center"/>
    </xf>
    <xf numFmtId="0" fontId="5" fillId="6" borderId="19" xfId="3" applyNumberFormat="1" applyFont="1" applyFill="1" applyBorder="1" applyAlignment="1">
      <alignment vertical="center"/>
    </xf>
    <xf numFmtId="0" fontId="5" fillId="6" borderId="51" xfId="3" applyNumberFormat="1" applyFont="1" applyFill="1" applyBorder="1" applyAlignment="1">
      <alignment vertical="center" wrapText="1"/>
    </xf>
    <xf numFmtId="0" fontId="5" fillId="6" borderId="52" xfId="3" applyNumberFormat="1" applyFont="1" applyFill="1" applyBorder="1" applyAlignment="1">
      <alignment vertical="center" wrapText="1"/>
    </xf>
    <xf numFmtId="0" fontId="17" fillId="5" borderId="42" xfId="0" applyFont="1" applyFill="1" applyBorder="1" applyAlignment="1">
      <alignment vertical="center"/>
    </xf>
    <xf numFmtId="0" fontId="17" fillId="5" borderId="44" xfId="0" applyFont="1" applyFill="1" applyBorder="1" applyAlignment="1">
      <alignment vertical="center"/>
    </xf>
    <xf numFmtId="0" fontId="17" fillId="5" borderId="43" xfId="0" applyFont="1" applyFill="1" applyBorder="1" applyAlignment="1">
      <alignment vertical="center"/>
    </xf>
    <xf numFmtId="0" fontId="17" fillId="5" borderId="45" xfId="0" applyFont="1" applyFill="1" applyBorder="1" applyAlignment="1">
      <alignment vertical="center"/>
    </xf>
    <xf numFmtId="0" fontId="1" fillId="0" borderId="0" xfId="88" applyFont="1" applyAlignment="1">
      <alignment horizontal="left" vertical="center"/>
    </xf>
    <xf numFmtId="2" fontId="9" fillId="8" borderId="2" xfId="88" applyNumberFormat="1" applyFont="1" applyFill="1" applyBorder="1" applyAlignment="1">
      <alignment horizontal="left"/>
    </xf>
    <xf numFmtId="2" fontId="9" fillId="6" borderId="2" xfId="88" applyNumberFormat="1" applyFont="1" applyFill="1" applyBorder="1" applyAlignment="1">
      <alignment horizontal="left"/>
    </xf>
    <xf numFmtId="0" fontId="0" fillId="8" borderId="3" xfId="0" applyFill="1" applyBorder="1" applyAlignment="1">
      <alignment horizontal="left"/>
    </xf>
    <xf numFmtId="0" fontId="0" fillId="8" borderId="4"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23" fillId="10" borderId="15" xfId="88" applyNumberFormat="1" applyFont="1" applyFill="1" applyBorder="1" applyAlignment="1">
      <alignment horizontal="center" vertical="center"/>
    </xf>
    <xf numFmtId="0" fontId="0" fillId="8" borderId="28" xfId="0" applyFill="1" applyBorder="1" applyAlignment="1">
      <alignment horizontal="left"/>
    </xf>
    <xf numFmtId="0" fontId="0" fillId="8" borderId="23" xfId="0" applyFill="1" applyBorder="1" applyAlignment="1">
      <alignment horizontal="left"/>
    </xf>
    <xf numFmtId="0" fontId="9" fillId="6" borderId="2" xfId="86" applyFont="1" applyFill="1" applyBorder="1" applyAlignment="1">
      <alignment horizontal="left"/>
    </xf>
    <xf numFmtId="0" fontId="24" fillId="10" borderId="15" xfId="0" applyNumberFormat="1" applyFont="1" applyFill="1" applyBorder="1" applyAlignment="1">
      <alignment horizontal="center" vertical="center"/>
    </xf>
    <xf numFmtId="0" fontId="24" fillId="10" borderId="16" xfId="0" applyNumberFormat="1" applyFont="1" applyFill="1" applyBorder="1" applyAlignment="1">
      <alignment horizontal="center" vertical="center"/>
    </xf>
    <xf numFmtId="0" fontId="9" fillId="8" borderId="2" xfId="86" applyFont="1" applyFill="1" applyBorder="1" applyAlignment="1">
      <alignment horizontal="left"/>
    </xf>
    <xf numFmtId="0" fontId="16" fillId="5" borderId="15" xfId="88" applyFont="1" applyFill="1" applyBorder="1" applyAlignment="1">
      <alignment horizontal="left"/>
    </xf>
    <xf numFmtId="0" fontId="16" fillId="5" borderId="21" xfId="88" applyFont="1" applyFill="1" applyBorder="1" applyAlignment="1">
      <alignment horizontal="left"/>
    </xf>
    <xf numFmtId="0" fontId="16" fillId="5" borderId="15" xfId="88" applyFont="1" applyFill="1" applyBorder="1" applyAlignment="1">
      <alignment horizontal="left" vertical="center"/>
    </xf>
    <xf numFmtId="0" fontId="16" fillId="5" borderId="21" xfId="88" applyFont="1" applyFill="1" applyBorder="1" applyAlignment="1">
      <alignment horizontal="left" vertical="center"/>
    </xf>
    <xf numFmtId="0" fontId="22" fillId="5" borderId="15" xfId="88" applyFont="1" applyFill="1" applyBorder="1" applyAlignment="1">
      <alignment horizontal="left" vertical="center"/>
    </xf>
    <xf numFmtId="0" fontId="22" fillId="5" borderId="21" xfId="88" applyFont="1" applyFill="1" applyBorder="1" applyAlignment="1">
      <alignment horizontal="left" vertical="center"/>
    </xf>
    <xf numFmtId="0" fontId="1" fillId="0" borderId="0" xfId="82" applyFont="1" applyAlignment="1">
      <alignment horizontal="left" vertical="center"/>
    </xf>
    <xf numFmtId="2" fontId="9" fillId="8" borderId="2" xfId="87" applyNumberFormat="1" applyFont="1" applyFill="1" applyBorder="1" applyAlignment="1">
      <alignment horizontal="left"/>
    </xf>
    <xf numFmtId="2" fontId="9" fillId="6" borderId="2" xfId="87" applyNumberFormat="1" applyFont="1" applyFill="1" applyBorder="1" applyAlignment="1">
      <alignment horizontal="left"/>
    </xf>
    <xf numFmtId="2" fontId="9" fillId="6" borderId="3" xfId="87" applyNumberFormat="1" applyFont="1" applyFill="1" applyBorder="1" applyAlignment="1">
      <alignment horizontal="left"/>
    </xf>
    <xf numFmtId="2" fontId="9" fillId="6" borderId="4" xfId="87" applyNumberFormat="1" applyFont="1" applyFill="1" applyBorder="1" applyAlignment="1">
      <alignment horizontal="left"/>
    </xf>
    <xf numFmtId="0" fontId="0" fillId="8" borderId="2" xfId="0" applyFill="1" applyBorder="1" applyAlignment="1">
      <alignment horizontal="left" vertical="center"/>
    </xf>
    <xf numFmtId="0" fontId="13" fillId="5" borderId="15" xfId="82" applyFont="1" applyFill="1" applyBorder="1" applyAlignment="1">
      <alignment horizontal="center" vertical="center"/>
    </xf>
    <xf numFmtId="0" fontId="13" fillId="5" borderId="21" xfId="82" applyFont="1" applyFill="1" applyBorder="1" applyAlignment="1">
      <alignment horizontal="center" vertical="center"/>
    </xf>
    <xf numFmtId="0" fontId="13" fillId="5" borderId="15" xfId="82" applyFont="1" applyFill="1" applyBorder="1" applyAlignment="1">
      <alignment horizontal="left" vertical="center"/>
    </xf>
    <xf numFmtId="0" fontId="13" fillId="5" borderId="21" xfId="82" applyFont="1" applyFill="1" applyBorder="1" applyAlignment="1">
      <alignment horizontal="left" vertical="center"/>
    </xf>
    <xf numFmtId="0" fontId="1" fillId="0" borderId="0" xfId="83" applyFont="1" applyAlignment="1">
      <alignment horizontal="left" vertical="center"/>
    </xf>
    <xf numFmtId="0" fontId="13" fillId="5" borderId="14" xfId="83" applyFont="1" applyFill="1" applyBorder="1" applyAlignment="1">
      <alignment horizontal="left"/>
    </xf>
    <xf numFmtId="0" fontId="13" fillId="5" borderId="20" xfId="83" applyFont="1" applyFill="1" applyBorder="1" applyAlignment="1">
      <alignment horizontal="left"/>
    </xf>
    <xf numFmtId="0" fontId="13" fillId="5" borderId="15" xfId="83" applyFont="1" applyFill="1" applyBorder="1" applyAlignment="1">
      <alignment horizontal="left"/>
    </xf>
    <xf numFmtId="0" fontId="13" fillId="5" borderId="21" xfId="83" applyFont="1" applyFill="1" applyBorder="1" applyAlignment="1">
      <alignment horizontal="left"/>
    </xf>
    <xf numFmtId="0" fontId="1" fillId="0" borderId="0" xfId="85" applyFont="1" applyAlignment="1">
      <alignment horizontal="left" vertical="center"/>
    </xf>
    <xf numFmtId="0" fontId="16" fillId="5" borderId="36" xfId="28" applyFont="1" applyFill="1" applyBorder="1" applyAlignment="1">
      <alignment horizontal="center" vertical="center" wrapText="1"/>
    </xf>
    <xf numFmtId="0" fontId="16" fillId="5" borderId="14" xfId="28" applyFont="1" applyFill="1" applyBorder="1" applyAlignment="1">
      <alignment horizontal="center" vertical="center" wrapText="1"/>
    </xf>
    <xf numFmtId="0" fontId="16" fillId="5" borderId="20" xfId="28" applyFont="1" applyFill="1" applyBorder="1" applyAlignment="1">
      <alignment horizontal="center" vertical="center" wrapText="1"/>
    </xf>
    <xf numFmtId="0" fontId="16" fillId="5" borderId="15" xfId="28" applyFont="1" applyFill="1" applyBorder="1" applyAlignment="1">
      <alignment horizontal="center" vertical="center" wrapText="1"/>
    </xf>
    <xf numFmtId="0" fontId="16" fillId="5" borderId="21" xfId="28" applyFont="1" applyFill="1" applyBorder="1" applyAlignment="1">
      <alignment horizontal="center" vertical="center" wrapText="1"/>
    </xf>
    <xf numFmtId="0" fontId="16" fillId="5" borderId="16" xfId="28" applyFont="1" applyFill="1" applyBorder="1" applyAlignment="1">
      <alignment horizontal="center" vertical="center" wrapText="1"/>
    </xf>
    <xf numFmtId="0" fontId="16" fillId="5" borderId="22" xfId="28" applyFont="1" applyFill="1" applyBorder="1" applyAlignment="1">
      <alignment horizontal="center" vertical="center" wrapText="1"/>
    </xf>
    <xf numFmtId="0" fontId="1" fillId="0" borderId="0" xfId="28" applyFont="1" applyBorder="1" applyAlignment="1">
      <alignment horizontal="left" vertical="center"/>
    </xf>
    <xf numFmtId="0" fontId="16" fillId="5" borderId="36" xfId="15" applyFont="1" applyFill="1" applyBorder="1" applyAlignment="1">
      <alignment horizontal="center" vertical="center" wrapText="1"/>
    </xf>
    <xf numFmtId="0" fontId="16" fillId="5" borderId="14" xfId="15" applyFont="1" applyFill="1" applyBorder="1" applyAlignment="1">
      <alignment horizontal="center" vertical="center" wrapText="1"/>
    </xf>
    <xf numFmtId="0" fontId="16" fillId="5" borderId="20" xfId="15" applyFont="1" applyFill="1" applyBorder="1" applyAlignment="1">
      <alignment horizontal="center" vertical="center" wrapText="1"/>
    </xf>
    <xf numFmtId="0" fontId="16" fillId="5" borderId="15" xfId="15" applyFont="1" applyFill="1" applyBorder="1" applyAlignment="1">
      <alignment horizontal="center" vertical="center" wrapText="1"/>
    </xf>
    <xf numFmtId="0" fontId="16" fillId="5" borderId="21" xfId="15" applyFont="1" applyFill="1" applyBorder="1" applyAlignment="1">
      <alignment horizontal="center" vertical="center" wrapText="1"/>
    </xf>
    <xf numFmtId="0" fontId="16" fillId="5" borderId="16" xfId="15" applyFont="1" applyFill="1" applyBorder="1" applyAlignment="1">
      <alignment horizontal="center" vertical="center" wrapText="1"/>
    </xf>
    <xf numFmtId="0" fontId="16" fillId="5" borderId="22" xfId="15" applyFont="1" applyFill="1" applyBorder="1" applyAlignment="1">
      <alignment horizontal="center" vertical="center" wrapText="1"/>
    </xf>
    <xf numFmtId="0" fontId="1" fillId="0" borderId="0" xfId="15" applyFont="1" applyBorder="1" applyAlignment="1">
      <alignment horizontal="left" vertical="center"/>
    </xf>
    <xf numFmtId="0" fontId="1" fillId="0" borderId="0" xfId="31" applyFont="1" applyAlignment="1">
      <alignment horizontal="center" vertical="center" wrapText="1"/>
    </xf>
    <xf numFmtId="0" fontId="4" fillId="0" borderId="0" xfId="0" applyFont="1" applyAlignment="1">
      <alignment vertical="center"/>
    </xf>
    <xf numFmtId="0" fontId="1" fillId="9" borderId="0" xfId="33" applyFont="1" applyFill="1" applyAlignment="1">
      <alignment horizontal="left" vertical="center"/>
    </xf>
    <xf numFmtId="0" fontId="1" fillId="0" borderId="0" xfId="30" applyFont="1" applyAlignment="1">
      <alignment horizontal="left" vertical="center"/>
    </xf>
    <xf numFmtId="0" fontId="4" fillId="0" borderId="1" xfId="0" applyFont="1" applyBorder="1" applyAlignment="1">
      <alignment horizontal="left" vertical="center"/>
    </xf>
    <xf numFmtId="0" fontId="2" fillId="0" borderId="2" xfId="1" applyFont="1" applyBorder="1" applyAlignment="1">
      <alignment horizontal="center" vertical="center" wrapText="1"/>
    </xf>
    <xf numFmtId="0" fontId="1" fillId="0" borderId="0" xfId="53" applyFont="1" applyBorder="1" applyAlignment="1">
      <alignment horizontal="left" vertical="center" wrapText="1"/>
    </xf>
    <xf numFmtId="0" fontId="0" fillId="0" borderId="1" xfId="0" applyBorder="1" applyAlignment="1">
      <alignment vertical="center"/>
    </xf>
    <xf numFmtId="0" fontId="2" fillId="0" borderId="2" xfId="1" applyFont="1" applyBorder="1" applyAlignment="1">
      <alignment horizontal="left"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 xfId="1" applyFont="1" applyBorder="1" applyAlignment="1">
      <alignment horizontal="left" vertical="center"/>
    </xf>
    <xf numFmtId="0" fontId="3" fillId="0" borderId="9" xfId="1" applyFont="1" applyBorder="1" applyAlignment="1">
      <alignment horizontal="left" vertical="center"/>
    </xf>
    <xf numFmtId="0" fontId="2" fillId="0" borderId="2"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cellXfs>
  <cellStyles count="106">
    <cellStyle name="_323041_一分2009年财务预算表样11(1)(1).28新" xfId="26"/>
    <cellStyle name="_ET_STYLE_NoName_00_" xfId="14"/>
    <cellStyle name="_一季度预计结利情况" xfId="16"/>
    <cellStyle name="百分比" xfId="6" builtinId="5"/>
    <cellStyle name="百分比 2" xfId="7"/>
    <cellStyle name="百分比 2 2" xfId="20"/>
    <cellStyle name="百分比 2 3" xfId="21"/>
    <cellStyle name="百分比 2 4" xfId="22"/>
    <cellStyle name="百分比 2 5" xfId="10"/>
    <cellStyle name="百分比 3" xfId="27"/>
    <cellStyle name="百分比 3 2" xfId="23"/>
    <cellStyle name="百分比 3 3" xfId="2"/>
    <cellStyle name="百分比 3 4" xfId="24"/>
    <cellStyle name="百分比 3 5" xfId="25"/>
    <cellStyle name="百分比 4" xfId="17"/>
    <cellStyle name="百分比 8" xfId="4"/>
    <cellStyle name="常规" xfId="0" builtinId="0"/>
    <cellStyle name="常规 10" xfId="28"/>
    <cellStyle name="常规 11" xfId="29"/>
    <cellStyle name="常规 12" xfId="15"/>
    <cellStyle name="常规 13" xfId="30"/>
    <cellStyle name="常规 14" xfId="31"/>
    <cellStyle name="常规 15" xfId="33"/>
    <cellStyle name="常规 16" xfId="36"/>
    <cellStyle name="常规 17" xfId="37"/>
    <cellStyle name="常规 18" xfId="38"/>
    <cellStyle name="常规 19" xfId="39"/>
    <cellStyle name="常规 2" xfId="40"/>
    <cellStyle name="常规 2 10" xfId="41"/>
    <cellStyle name="常规 2 11" xfId="42"/>
    <cellStyle name="常规 2 12" xfId="43"/>
    <cellStyle name="常规 2 13" xfId="44"/>
    <cellStyle name="常规 2 14" xfId="45"/>
    <cellStyle name="常规 2 15" xfId="47"/>
    <cellStyle name="常规 2 16" xfId="49"/>
    <cellStyle name="常规 2 17" xfId="52"/>
    <cellStyle name="常规 2 18" xfId="54"/>
    <cellStyle name="常规 2 19" xfId="57"/>
    <cellStyle name="常规 2 2" xfId="58"/>
    <cellStyle name="常规 2 20" xfId="46"/>
    <cellStyle name="常规 2 21" xfId="48"/>
    <cellStyle name="常规 2 22" xfId="51"/>
    <cellStyle name="常规 2 23" xfId="53"/>
    <cellStyle name="常规 2 24" xfId="56"/>
    <cellStyle name="常规 2 25" xfId="59"/>
    <cellStyle name="常规 2 26" xfId="1"/>
    <cellStyle name="常规 2 3" xfId="60"/>
    <cellStyle name="常规 2 4" xfId="61"/>
    <cellStyle name="常规 2 5" xfId="62"/>
    <cellStyle name="常规 2 6" xfId="63"/>
    <cellStyle name="常规 2 7" xfId="64"/>
    <cellStyle name="常规 2 8" xfId="65"/>
    <cellStyle name="常规 2 9" xfId="66"/>
    <cellStyle name="常规 20" xfId="32"/>
    <cellStyle name="常规 21" xfId="35"/>
    <cellStyle name="常规 3" xfId="67"/>
    <cellStyle name="常规 3 2" xfId="68"/>
    <cellStyle name="常规 4" xfId="69"/>
    <cellStyle name="常规 4 2" xfId="70"/>
    <cellStyle name="常规 4 3" xfId="71"/>
    <cellStyle name="常规 4 4" xfId="72"/>
    <cellStyle name="常规 4 5" xfId="73"/>
    <cellStyle name="常规 4 6" xfId="74"/>
    <cellStyle name="常规 4 7" xfId="75"/>
    <cellStyle name="常规 5" xfId="76"/>
    <cellStyle name="常规 6" xfId="8"/>
    <cellStyle name="常规 6 2" xfId="77"/>
    <cellStyle name="常规 6 3" xfId="80"/>
    <cellStyle name="常规 6 4" xfId="81"/>
    <cellStyle name="常规 6 5" xfId="11"/>
    <cellStyle name="常规 7" xfId="82"/>
    <cellStyle name="常规 8" xfId="83"/>
    <cellStyle name="常规 9" xfId="84"/>
    <cellStyle name="常规_2" xfId="85"/>
    <cellStyle name="常规_附件一：成本收益分析表" xfId="86"/>
    <cellStyle name="常规_可研测算模板(参考）" xfId="87"/>
    <cellStyle name="常规_可研测算模板(参考） 2" xfId="88"/>
    <cellStyle name="常规_可研测算模板(参考） 2 2" xfId="89"/>
    <cellStyle name="常规_可研测算总表及赢利指标分析" xfId="5"/>
    <cellStyle name="常规_可研测算总表及赢利指标分析 2" xfId="90"/>
    <cellStyle name="常规_土增税财务部计算办法" xfId="3"/>
    <cellStyle name="货币 2" xfId="91"/>
    <cellStyle name="普通_期间费(总公司)" xfId="9"/>
    <cellStyle name="千位分隔 10" xfId="13"/>
    <cellStyle name="千位分隔 10 2" xfId="79"/>
    <cellStyle name="千位分隔 10 2 2" xfId="92"/>
    <cellStyle name="千位分隔 2" xfId="93"/>
    <cellStyle name="千位分隔 2 2" xfId="50"/>
    <cellStyle name="千位分隔 2 2 2" xfId="55"/>
    <cellStyle name="千位分隔 3" xfId="94"/>
    <cellStyle name="千位分隔 3 2" xfId="12"/>
    <cellStyle name="千位分隔 3 2 2" xfId="78"/>
    <cellStyle name="千位分隔 4" xfId="95"/>
    <cellStyle name="千位分隔 4 2" xfId="96"/>
    <cellStyle name="千位分隔 4 2 2" xfId="97"/>
    <cellStyle name="千位分隔 5" xfId="98"/>
    <cellStyle name="千位分隔 5 2" xfId="99"/>
    <cellStyle name="千位分隔 5 2 2" xfId="34"/>
    <cellStyle name="千位分隔 6" xfId="100"/>
    <cellStyle name="千位分隔 6 2" xfId="18"/>
    <cellStyle name="千位分隔 6 2 2" xfId="101"/>
    <cellStyle name="千位分隔 7" xfId="102"/>
    <cellStyle name="千位分隔 7 2" xfId="103"/>
    <cellStyle name="千位分隔 7 2 2" xfId="104"/>
    <cellStyle name="千位分隔[0] 2" xfId="19"/>
    <cellStyle name="样式 1" xfId="1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showGridLines="0" topLeftCell="B1" zoomScale="145" zoomScaleNormal="145" workbookViewId="0">
      <pane xSplit="2" ySplit="3" topLeftCell="D58" activePane="bottomRight" state="frozen"/>
      <selection pane="topRight"/>
      <selection pane="bottomLeft"/>
      <selection pane="bottomRight" activeCell="D26" sqref="D26"/>
    </sheetView>
  </sheetViews>
  <sheetFormatPr defaultColWidth="9" defaultRowHeight="13.5"/>
  <cols>
    <col min="1" max="1" width="49.125" hidden="1" customWidth="1"/>
    <col min="2" max="2" width="34" customWidth="1"/>
    <col min="3" max="3" width="8.625" customWidth="1"/>
    <col min="4" max="4" width="9.375" customWidth="1"/>
    <col min="5" max="5" width="16" customWidth="1"/>
    <col min="6" max="6" width="16.625" customWidth="1"/>
    <col min="7" max="7" width="13.75"/>
    <col min="8" max="8" width="12.625"/>
    <col min="9" max="10" width="9.375"/>
  </cols>
  <sheetData>
    <row r="1" spans="1:6" ht="28.15" customHeight="1">
      <c r="A1" s="961"/>
      <c r="B1" s="1032" t="s">
        <v>0</v>
      </c>
      <c r="C1" s="1033"/>
      <c r="D1" s="1033"/>
      <c r="E1" s="1033"/>
      <c r="F1" s="1"/>
    </row>
    <row r="2" spans="1:6" ht="28.15" customHeight="1">
      <c r="A2" s="961"/>
      <c r="B2" s="1034"/>
      <c r="C2" s="1034"/>
      <c r="D2" s="1034"/>
      <c r="E2" s="1034"/>
      <c r="F2" s="1"/>
    </row>
    <row r="3" spans="1:6" ht="18" customHeight="1">
      <c r="A3" s="962"/>
      <c r="B3" s="963" t="s">
        <v>1</v>
      </c>
      <c r="C3" s="963" t="s">
        <v>2</v>
      </c>
      <c r="D3" s="964" t="s">
        <v>3</v>
      </c>
      <c r="E3" s="964" t="s">
        <v>4</v>
      </c>
      <c r="F3" s="965" t="s">
        <v>5</v>
      </c>
    </row>
    <row r="4" spans="1:6" ht="18" customHeight="1">
      <c r="A4" s="966" t="s">
        <v>6</v>
      </c>
      <c r="B4" s="967" t="s">
        <v>7</v>
      </c>
      <c r="C4" s="968" t="s">
        <v>8</v>
      </c>
      <c r="D4" s="969">
        <f>D5+D11</f>
        <v>4.9176788999999994</v>
      </c>
      <c r="E4" s="970"/>
      <c r="F4" s="971"/>
    </row>
    <row r="5" spans="1:6" ht="18" customHeight="1">
      <c r="A5" s="972" t="s">
        <v>9</v>
      </c>
      <c r="B5" s="973" t="s">
        <v>10</v>
      </c>
      <c r="C5" s="974" t="s">
        <v>8</v>
      </c>
      <c r="D5" s="975">
        <f>SUM(D6:D10)</f>
        <v>4.9176788999999994</v>
      </c>
      <c r="E5" s="976"/>
      <c r="F5" s="977"/>
    </row>
    <row r="6" spans="1:6" ht="18" customHeight="1">
      <c r="A6" s="978" t="s">
        <v>11</v>
      </c>
      <c r="B6" s="979" t="s">
        <v>12</v>
      </c>
      <c r="C6" s="980" t="s">
        <v>8</v>
      </c>
      <c r="D6" s="981">
        <f>49176.789/10000</f>
        <v>4.9176788999999994</v>
      </c>
      <c r="E6" s="982"/>
      <c r="F6" s="983"/>
    </row>
    <row r="7" spans="1:6" ht="18" hidden="1" customHeight="1">
      <c r="A7" s="978" t="s">
        <v>13</v>
      </c>
      <c r="B7" s="973" t="s">
        <v>14</v>
      </c>
      <c r="C7" s="974" t="s">
        <v>8</v>
      </c>
      <c r="D7" s="981"/>
      <c r="E7" s="976"/>
      <c r="F7" s="977"/>
    </row>
    <row r="8" spans="1:6" ht="18" hidden="1" customHeight="1">
      <c r="A8" s="978" t="s">
        <v>15</v>
      </c>
      <c r="B8" s="979" t="s">
        <v>16</v>
      </c>
      <c r="C8" s="980" t="s">
        <v>8</v>
      </c>
      <c r="D8" s="981"/>
      <c r="E8" s="982"/>
      <c r="F8" s="983"/>
    </row>
    <row r="9" spans="1:6" ht="18" hidden="1" customHeight="1">
      <c r="A9" s="978" t="s">
        <v>17</v>
      </c>
      <c r="B9" s="973" t="s">
        <v>18</v>
      </c>
      <c r="C9" s="974" t="s">
        <v>8</v>
      </c>
      <c r="D9" s="981"/>
      <c r="E9" s="976"/>
      <c r="F9" s="977"/>
    </row>
    <row r="10" spans="1:6" ht="18" hidden="1" customHeight="1">
      <c r="A10" s="978" t="s">
        <v>19</v>
      </c>
      <c r="B10" s="979" t="s">
        <v>20</v>
      </c>
      <c r="C10" s="980" t="s">
        <v>8</v>
      </c>
      <c r="D10" s="981"/>
      <c r="E10" s="982"/>
      <c r="F10" s="983"/>
    </row>
    <row r="11" spans="1:6" ht="18" hidden="1" customHeight="1">
      <c r="A11" s="972" t="s">
        <v>21</v>
      </c>
      <c r="B11" s="973" t="s">
        <v>22</v>
      </c>
      <c r="C11" s="974" t="s">
        <v>8</v>
      </c>
      <c r="D11" s="975">
        <f>SUM(D12:D14)</f>
        <v>0</v>
      </c>
      <c r="E11" s="976"/>
      <c r="F11" s="977"/>
    </row>
    <row r="12" spans="1:6" ht="18" hidden="1" customHeight="1">
      <c r="A12" s="978" t="s">
        <v>23</v>
      </c>
      <c r="B12" s="979" t="s">
        <v>24</v>
      </c>
      <c r="C12" s="980" t="s">
        <v>8</v>
      </c>
      <c r="D12" s="981"/>
      <c r="E12" s="982"/>
      <c r="F12" s="983"/>
    </row>
    <row r="13" spans="1:6" ht="18" hidden="1" customHeight="1">
      <c r="A13" s="978" t="s">
        <v>25</v>
      </c>
      <c r="B13" s="973" t="s">
        <v>26</v>
      </c>
      <c r="C13" s="974" t="s">
        <v>8</v>
      </c>
      <c r="D13" s="981"/>
      <c r="E13" s="976"/>
      <c r="F13" s="977"/>
    </row>
    <row r="14" spans="1:6" ht="18" hidden="1" customHeight="1">
      <c r="A14" s="978" t="s">
        <v>27</v>
      </c>
      <c r="B14" s="979" t="s">
        <v>28</v>
      </c>
      <c r="C14" s="980" t="s">
        <v>8</v>
      </c>
      <c r="D14" s="981"/>
      <c r="E14" s="982"/>
      <c r="F14" s="983"/>
    </row>
    <row r="15" spans="1:6" ht="18" customHeight="1">
      <c r="A15" s="972" t="s">
        <v>29</v>
      </c>
      <c r="B15" s="984" t="s">
        <v>30</v>
      </c>
      <c r="C15" s="974" t="s">
        <v>31</v>
      </c>
      <c r="D15" s="985">
        <f>IFERROR(D16+D22,0)</f>
        <v>176500.66012000002</v>
      </c>
      <c r="E15" s="986">
        <f>IFERROR(E16+E22,0)</f>
        <v>148884.87716</v>
      </c>
      <c r="F15" s="977"/>
    </row>
    <row r="16" spans="1:6" ht="18" customHeight="1">
      <c r="A16" s="987" t="s">
        <v>32</v>
      </c>
      <c r="B16" s="988" t="s">
        <v>33</v>
      </c>
      <c r="C16" s="980" t="s">
        <v>31</v>
      </c>
      <c r="D16" s="985">
        <f>IFERROR(D27,0)</f>
        <v>108188.936</v>
      </c>
      <c r="E16" s="986">
        <f>IFERROR(E27,0)</f>
        <v>105613.436</v>
      </c>
      <c r="F16" s="983"/>
    </row>
    <row r="17" spans="1:7" ht="18" customHeight="1">
      <c r="A17" s="972" t="s">
        <v>34</v>
      </c>
      <c r="B17" s="984" t="s">
        <v>35</v>
      </c>
      <c r="C17" s="974" t="s">
        <v>31</v>
      </c>
      <c r="D17" s="989">
        <f>IFERROR(D29,0)</f>
        <v>105613.436</v>
      </c>
      <c r="E17" s="990">
        <f>IFERROR(E29,0)</f>
        <v>105613.436</v>
      </c>
      <c r="F17" s="977"/>
    </row>
    <row r="18" spans="1:7" ht="18" customHeight="1">
      <c r="A18" s="978" t="s">
        <v>36</v>
      </c>
      <c r="B18" s="988" t="s">
        <v>37</v>
      </c>
      <c r="C18" s="980" t="s">
        <v>31</v>
      </c>
      <c r="D18" s="991">
        <f>D31</f>
        <v>88765.436000000002</v>
      </c>
      <c r="E18" s="992">
        <f>D18</f>
        <v>88765.436000000002</v>
      </c>
      <c r="F18" s="983"/>
    </row>
    <row r="19" spans="1:7" ht="18" hidden="1" customHeight="1">
      <c r="A19" s="972" t="s">
        <v>38</v>
      </c>
      <c r="B19" s="984" t="s">
        <v>39</v>
      </c>
      <c r="C19" s="974" t="s">
        <v>31</v>
      </c>
      <c r="D19" s="989">
        <f>IFERROR(D32,0)</f>
        <v>0</v>
      </c>
      <c r="E19" s="990">
        <f>IFERROR(E32,0)</f>
        <v>0</v>
      </c>
      <c r="F19" s="977"/>
    </row>
    <row r="20" spans="1:7" ht="18" customHeight="1">
      <c r="A20" s="987" t="s">
        <v>40</v>
      </c>
      <c r="B20" s="988" t="s">
        <v>41</v>
      </c>
      <c r="C20" s="980" t="s">
        <v>31</v>
      </c>
      <c r="D20" s="993">
        <f>IFERROR(D33,0)</f>
        <v>2575.5</v>
      </c>
      <c r="E20" s="994">
        <f>IFERROR(E33,0)</f>
        <v>0</v>
      </c>
      <c r="F20" s="983"/>
    </row>
    <row r="21" spans="1:7" ht="18" customHeight="1">
      <c r="A21" s="978" t="s">
        <v>42</v>
      </c>
      <c r="B21" s="984" t="s">
        <v>43</v>
      </c>
      <c r="C21" s="974" t="s">
        <v>31</v>
      </c>
      <c r="D21" s="991">
        <f>IFERROR(D17+D19,0)</f>
        <v>105613.436</v>
      </c>
      <c r="E21" s="992">
        <f>IFERROR(E17+E19,0)</f>
        <v>105613.436</v>
      </c>
      <c r="F21" s="977"/>
    </row>
    <row r="22" spans="1:7" ht="18" customHeight="1">
      <c r="A22" s="987" t="s">
        <v>44</v>
      </c>
      <c r="B22" s="988" t="s">
        <v>45</v>
      </c>
      <c r="C22" s="980" t="s">
        <v>31</v>
      </c>
      <c r="D22" s="993">
        <f>IFERROR(D37,0)</f>
        <v>68311.724119999999</v>
      </c>
      <c r="E22" s="994">
        <f>IFERROR(E37,0)</f>
        <v>43271.441160000002</v>
      </c>
      <c r="F22" s="983"/>
    </row>
    <row r="23" spans="1:7" ht="18" customHeight="1">
      <c r="A23" s="972" t="s">
        <v>46</v>
      </c>
      <c r="B23" s="984" t="s">
        <v>47</v>
      </c>
      <c r="C23" s="974" t="s">
        <v>31</v>
      </c>
      <c r="D23" s="989">
        <f>IFERROR(D38,0)</f>
        <v>50685.724119999999</v>
      </c>
      <c r="E23" s="990">
        <f>IFERROR(E38,0)</f>
        <v>38784.941160000002</v>
      </c>
      <c r="F23" s="977"/>
    </row>
    <row r="24" spans="1:7" ht="18" customHeight="1">
      <c r="A24" s="987" t="s">
        <v>48</v>
      </c>
      <c r="B24" s="988" t="s">
        <v>49</v>
      </c>
      <c r="C24" s="980" t="s">
        <v>31</v>
      </c>
      <c r="D24" s="993">
        <f>IFERROR(D40,0)</f>
        <v>17626</v>
      </c>
      <c r="E24" s="994">
        <f>IFERROR(E40,0)</f>
        <v>4486.5</v>
      </c>
      <c r="F24" s="983"/>
    </row>
    <row r="25" spans="1:7" ht="18" customHeight="1">
      <c r="A25" s="972" t="s">
        <v>50</v>
      </c>
      <c r="B25" s="984" t="s">
        <v>51</v>
      </c>
      <c r="C25" s="974" t="s">
        <v>31</v>
      </c>
      <c r="D25" s="989">
        <f>IFERROR(D39+D41,0)</f>
        <v>11900.78296</v>
      </c>
      <c r="E25" s="990">
        <f>IFERROR(E39+E41,0)</f>
        <v>0</v>
      </c>
      <c r="F25" s="977"/>
    </row>
    <row r="26" spans="1:7" ht="18" customHeight="1">
      <c r="A26" s="995" t="s">
        <v>52</v>
      </c>
      <c r="B26" s="988" t="s">
        <v>53</v>
      </c>
      <c r="C26" s="980" t="s">
        <v>31</v>
      </c>
      <c r="D26" s="993">
        <f>IFERROR(D27+D37,0)</f>
        <v>176500.66012000002</v>
      </c>
      <c r="E26" s="994">
        <f>IFERROR(E27+E37,0)</f>
        <v>148884.87716</v>
      </c>
      <c r="F26" s="996"/>
    </row>
    <row r="27" spans="1:7" ht="18" customHeight="1">
      <c r="A27" s="997" t="s">
        <v>54</v>
      </c>
      <c r="B27" s="973" t="s">
        <v>55</v>
      </c>
      <c r="C27" s="974" t="s">
        <v>31</v>
      </c>
      <c r="D27" s="989">
        <f>IFERROR(D28+D36,0)</f>
        <v>108188.936</v>
      </c>
      <c r="E27" s="990">
        <f>IFERROR(E28+E36,0)</f>
        <v>105613.436</v>
      </c>
      <c r="F27" s="998"/>
    </row>
    <row r="28" spans="1:7" ht="18" customHeight="1">
      <c r="A28" s="995" t="s">
        <v>56</v>
      </c>
      <c r="B28" s="979" t="s">
        <v>57</v>
      </c>
      <c r="C28" s="980" t="s">
        <v>31</v>
      </c>
      <c r="D28" s="993">
        <f>D29+D33</f>
        <v>108188.936</v>
      </c>
      <c r="E28" s="994">
        <f>IFERROR(E29+E32+E33,0)</f>
        <v>105613.436</v>
      </c>
      <c r="F28" s="996"/>
      <c r="G28" s="999"/>
    </row>
    <row r="29" spans="1:7" ht="18" customHeight="1">
      <c r="A29" s="997" t="s">
        <v>58</v>
      </c>
      <c r="B29" s="973" t="s">
        <v>59</v>
      </c>
      <c r="C29" s="974" t="s">
        <v>31</v>
      </c>
      <c r="D29" s="989">
        <f>IFERROR(D30+D31,0)</f>
        <v>105613.436</v>
      </c>
      <c r="E29" s="990">
        <f>IFERROR(E30+E31,0)</f>
        <v>105613.436</v>
      </c>
      <c r="F29" s="998"/>
    </row>
    <row r="30" spans="1:7" ht="18" customHeight="1">
      <c r="A30" s="1000" t="s">
        <v>60</v>
      </c>
      <c r="B30" s="1001" t="s">
        <v>61</v>
      </c>
      <c r="C30" s="980" t="s">
        <v>31</v>
      </c>
      <c r="D30" s="991">
        <v>16848</v>
      </c>
      <c r="E30" s="992">
        <f>D30</f>
        <v>16848</v>
      </c>
      <c r="F30" s="983"/>
      <c r="G30" s="1002"/>
    </row>
    <row r="31" spans="1:7" ht="18" customHeight="1">
      <c r="A31" s="1000" t="s">
        <v>62</v>
      </c>
      <c r="B31" s="1001" t="s">
        <v>63</v>
      </c>
      <c r="C31" s="974" t="s">
        <v>31</v>
      </c>
      <c r="D31" s="991">
        <f>108188.936-D33-D30</f>
        <v>88765.436000000002</v>
      </c>
      <c r="E31" s="992">
        <f>D31</f>
        <v>88765.436000000002</v>
      </c>
      <c r="F31" s="977"/>
    </row>
    <row r="32" spans="1:7" ht="18" hidden="1" customHeight="1">
      <c r="A32" s="995" t="s">
        <v>64</v>
      </c>
      <c r="B32" s="988" t="s">
        <v>65</v>
      </c>
      <c r="C32" s="980" t="s">
        <v>31</v>
      </c>
      <c r="D32" s="993"/>
      <c r="E32" s="994"/>
      <c r="F32" s="996"/>
    </row>
    <row r="33" spans="1:7" ht="18" customHeight="1">
      <c r="A33" s="997" t="s">
        <v>66</v>
      </c>
      <c r="B33" s="984" t="s">
        <v>67</v>
      </c>
      <c r="C33" s="974" t="s">
        <v>31</v>
      </c>
      <c r="D33" s="989">
        <f>D34+D35</f>
        <v>2575.5</v>
      </c>
      <c r="E33" s="990">
        <f>IFERROR(E34+E35,0)</f>
        <v>0</v>
      </c>
      <c r="F33" s="998"/>
    </row>
    <row r="34" spans="1:7" ht="18" customHeight="1">
      <c r="A34" s="1000" t="s">
        <v>68</v>
      </c>
      <c r="B34" s="1003" t="s">
        <v>69</v>
      </c>
      <c r="C34" s="980" t="s">
        <v>31</v>
      </c>
      <c r="D34" s="991">
        <v>2415.5</v>
      </c>
      <c r="E34" s="1004">
        <v>0</v>
      </c>
      <c r="F34" s="983"/>
    </row>
    <row r="35" spans="1:7" ht="18" customHeight="1">
      <c r="A35" s="1000" t="s">
        <v>70</v>
      </c>
      <c r="B35" s="1003" t="s">
        <v>71</v>
      </c>
      <c r="C35" s="974" t="s">
        <v>31</v>
      </c>
      <c r="D35" s="991">
        <v>160</v>
      </c>
      <c r="E35" s="1005">
        <v>0</v>
      </c>
      <c r="F35" s="977"/>
    </row>
    <row r="36" spans="1:7" ht="18" hidden="1" customHeight="1">
      <c r="A36" s="995" t="s">
        <v>72</v>
      </c>
      <c r="B36" s="988" t="s">
        <v>73</v>
      </c>
      <c r="C36" s="980" t="s">
        <v>31</v>
      </c>
      <c r="D36" s="1006"/>
      <c r="E36" s="1007"/>
      <c r="F36" s="996"/>
    </row>
    <row r="37" spans="1:7" ht="18" customHeight="1">
      <c r="A37" s="997" t="s">
        <v>74</v>
      </c>
      <c r="B37" s="973" t="s">
        <v>75</v>
      </c>
      <c r="C37" s="974" t="s">
        <v>31</v>
      </c>
      <c r="D37" s="989">
        <f>IFERROR(D38+D40,0)</f>
        <v>68311.724119999999</v>
      </c>
      <c r="E37" s="990">
        <f>IFERROR(E38+E40,0)</f>
        <v>43271.441160000002</v>
      </c>
      <c r="F37" s="998"/>
      <c r="G37" s="1008"/>
    </row>
    <row r="38" spans="1:7" ht="18" customHeight="1">
      <c r="A38" s="1009" t="s">
        <v>76</v>
      </c>
      <c r="B38" s="979" t="s">
        <v>77</v>
      </c>
      <c r="C38" s="980" t="s">
        <v>31</v>
      </c>
      <c r="D38" s="1010">
        <v>50685.724119999999</v>
      </c>
      <c r="E38" s="1011">
        <f>D38-D39</f>
        <v>38784.941160000002</v>
      </c>
      <c r="F38" s="1012">
        <f>E38/35</f>
        <v>1108.1411760000001</v>
      </c>
    </row>
    <row r="39" spans="1:7" ht="18" customHeight="1">
      <c r="A39" s="1009" t="s">
        <v>78</v>
      </c>
      <c r="B39" s="1013" t="s">
        <v>79</v>
      </c>
      <c r="C39" s="974" t="s">
        <v>31</v>
      </c>
      <c r="D39" s="1010">
        <v>11900.78296</v>
      </c>
      <c r="E39" s="1011">
        <v>0</v>
      </c>
      <c r="F39" s="1014">
        <f>D39/40</f>
        <v>297.51957400000003</v>
      </c>
    </row>
    <row r="40" spans="1:7" ht="18" customHeight="1">
      <c r="A40" s="1009" t="s">
        <v>80</v>
      </c>
      <c r="B40" s="979" t="s">
        <v>81</v>
      </c>
      <c r="C40" s="980" t="s">
        <v>31</v>
      </c>
      <c r="D40" s="1010">
        <f>D42+D43+D44+D45</f>
        <v>17626</v>
      </c>
      <c r="E40" s="994">
        <f>IFERROR(E42+E43+E44+E45,0)</f>
        <v>4486.5</v>
      </c>
      <c r="F40" s="996"/>
    </row>
    <row r="41" spans="1:7" ht="18" hidden="1" customHeight="1">
      <c r="A41" s="1009" t="s">
        <v>82</v>
      </c>
      <c r="B41" s="1013" t="s">
        <v>79</v>
      </c>
      <c r="C41" s="974" t="s">
        <v>31</v>
      </c>
      <c r="D41" s="1010"/>
      <c r="E41" s="990"/>
      <c r="F41" s="998"/>
    </row>
    <row r="42" spans="1:7" ht="18" customHeight="1">
      <c r="A42" s="1000" t="s">
        <v>83</v>
      </c>
      <c r="B42" s="1015" t="s">
        <v>84</v>
      </c>
      <c r="C42" s="980" t="s">
        <v>31</v>
      </c>
      <c r="D42" s="991">
        <f>8286.057+E42</f>
        <v>11125.557000000001</v>
      </c>
      <c r="E42" s="992">
        <f>D46*0.15*15</f>
        <v>2839.4999999999995</v>
      </c>
      <c r="F42" s="1016">
        <f>E42/15</f>
        <v>189.29999999999998</v>
      </c>
    </row>
    <row r="43" spans="1:7" ht="18" customHeight="1">
      <c r="A43" s="1000" t="s">
        <v>85</v>
      </c>
      <c r="B43" s="1015" t="s">
        <v>86</v>
      </c>
      <c r="C43" s="974" t="s">
        <v>31</v>
      </c>
      <c r="D43" s="991">
        <v>1357</v>
      </c>
      <c r="E43" s="992">
        <v>1097</v>
      </c>
      <c r="F43" s="1017">
        <f>E43/D29</f>
        <v>1.0386935995529962E-2</v>
      </c>
    </row>
    <row r="44" spans="1:7" ht="18" customHeight="1">
      <c r="A44" s="1000" t="s">
        <v>87</v>
      </c>
      <c r="B44" s="1015" t="s">
        <v>88</v>
      </c>
      <c r="C44" s="980" t="s">
        <v>31</v>
      </c>
      <c r="D44" s="991">
        <v>550</v>
      </c>
      <c r="E44" s="992">
        <f>D44</f>
        <v>550</v>
      </c>
      <c r="F44" s="983"/>
    </row>
    <row r="45" spans="1:7" ht="18" customHeight="1">
      <c r="A45" s="1000" t="s">
        <v>89</v>
      </c>
      <c r="B45" s="1015" t="s">
        <v>90</v>
      </c>
      <c r="C45" s="974" t="s">
        <v>31</v>
      </c>
      <c r="D45" s="991">
        <f>3651.443+942</f>
        <v>4593.4430000000002</v>
      </c>
      <c r="E45" s="1005">
        <v>0</v>
      </c>
      <c r="F45" s="1018"/>
    </row>
    <row r="46" spans="1:7" ht="18" customHeight="1">
      <c r="A46" s="987" t="s">
        <v>91</v>
      </c>
      <c r="B46" s="979" t="s">
        <v>92</v>
      </c>
      <c r="C46" s="980" t="s">
        <v>93</v>
      </c>
      <c r="D46" s="993">
        <f>IFERROR(D47+D48,0)</f>
        <v>1262</v>
      </c>
      <c r="E46" s="994">
        <f>IFERROR(E47+E48,0)</f>
        <v>1262</v>
      </c>
      <c r="F46" s="983"/>
    </row>
    <row r="47" spans="1:7" ht="18" customHeight="1">
      <c r="A47" s="978" t="s">
        <v>94</v>
      </c>
      <c r="B47" s="973" t="s">
        <v>95</v>
      </c>
      <c r="C47" s="974" t="s">
        <v>93</v>
      </c>
      <c r="D47" s="991">
        <f>624-14</f>
        <v>610</v>
      </c>
      <c r="E47" s="990">
        <f>D47</f>
        <v>610</v>
      </c>
      <c r="F47" s="977"/>
    </row>
    <row r="48" spans="1:7" ht="18" customHeight="1">
      <c r="A48" s="978" t="s">
        <v>96</v>
      </c>
      <c r="B48" s="979" t="s">
        <v>97</v>
      </c>
      <c r="C48" s="980" t="s">
        <v>93</v>
      </c>
      <c r="D48" s="991">
        <f>624+28</f>
        <v>652</v>
      </c>
      <c r="E48" s="994">
        <f>D48</f>
        <v>652</v>
      </c>
      <c r="F48" s="983"/>
    </row>
    <row r="49" spans="1:6" ht="18" customHeight="1">
      <c r="A49" s="978" t="s">
        <v>98</v>
      </c>
      <c r="B49" s="973" t="s">
        <v>99</v>
      </c>
      <c r="C49" s="974" t="s">
        <v>100</v>
      </c>
      <c r="D49" s="991">
        <f>D46*2.45</f>
        <v>3091.9</v>
      </c>
      <c r="E49" s="990"/>
      <c r="F49" s="977"/>
    </row>
    <row r="50" spans="1:6" ht="18" customHeight="1">
      <c r="A50" s="978" t="s">
        <v>101</v>
      </c>
      <c r="B50" s="979" t="s">
        <v>102</v>
      </c>
      <c r="C50" s="980" t="s">
        <v>103</v>
      </c>
      <c r="D50" s="991">
        <f>D49/D4</f>
        <v>628.73157497127363</v>
      </c>
      <c r="E50" s="994"/>
      <c r="F50" s="983"/>
    </row>
    <row r="51" spans="1:6" ht="18" customHeight="1">
      <c r="A51" s="978" t="s">
        <v>104</v>
      </c>
      <c r="B51" s="973" t="s">
        <v>105</v>
      </c>
      <c r="C51" s="974" t="s">
        <v>106</v>
      </c>
      <c r="D51" s="991" t="s">
        <v>107</v>
      </c>
      <c r="E51" s="990"/>
      <c r="F51" s="977"/>
    </row>
    <row r="52" spans="1:6" ht="18" customHeight="1">
      <c r="A52" s="978" t="s">
        <v>108</v>
      </c>
      <c r="B52" s="979" t="s">
        <v>109</v>
      </c>
      <c r="C52" s="1019"/>
      <c r="D52" s="1020">
        <v>2.2000000000000002</v>
      </c>
      <c r="E52" s="994"/>
      <c r="F52" s="983"/>
    </row>
    <row r="53" spans="1:6" ht="18" customHeight="1">
      <c r="A53" s="978" t="s">
        <v>110</v>
      </c>
      <c r="B53" s="973" t="s">
        <v>111</v>
      </c>
      <c r="C53" s="974" t="s">
        <v>112</v>
      </c>
      <c r="D53" s="1021">
        <f>12060/D6/10000</f>
        <v>0.24523764656533395</v>
      </c>
      <c r="E53" s="1022"/>
      <c r="F53" s="977"/>
    </row>
    <row r="54" spans="1:6" ht="18" customHeight="1">
      <c r="A54" s="987" t="s">
        <v>113</v>
      </c>
      <c r="B54" s="979" t="s">
        <v>114</v>
      </c>
      <c r="C54" s="980" t="s">
        <v>115</v>
      </c>
      <c r="D54" s="993">
        <f>IFERROR(D55+D56,0)</f>
        <v>1532</v>
      </c>
      <c r="E54" s="994">
        <f>IFERROR(E55+E56,0)</f>
        <v>504.8</v>
      </c>
      <c r="F54" s="983"/>
    </row>
    <row r="55" spans="1:6" ht="18" customHeight="1">
      <c r="A55" s="978" t="s">
        <v>116</v>
      </c>
      <c r="B55" s="973" t="s">
        <v>117</v>
      </c>
      <c r="C55" s="974" t="s">
        <v>115</v>
      </c>
      <c r="D55" s="991">
        <v>126</v>
      </c>
      <c r="E55" s="990">
        <v>0</v>
      </c>
      <c r="F55" s="977"/>
    </row>
    <row r="56" spans="1:6" ht="18" customHeight="1">
      <c r="A56" s="978" t="s">
        <v>118</v>
      </c>
      <c r="B56" s="979" t="s">
        <v>119</v>
      </c>
      <c r="C56" s="980" t="s">
        <v>115</v>
      </c>
      <c r="D56" s="991">
        <v>1406</v>
      </c>
      <c r="E56" s="992">
        <f>D46*F56</f>
        <v>504.8</v>
      </c>
      <c r="F56" s="1023">
        <v>0.4</v>
      </c>
    </row>
    <row r="57" spans="1:6" ht="18" customHeight="1">
      <c r="A57" s="1024" t="s">
        <v>120</v>
      </c>
      <c r="B57" s="1025" t="s">
        <v>121</v>
      </c>
      <c r="C57" s="1026" t="s">
        <v>112</v>
      </c>
      <c r="D57" s="1027">
        <v>0.3</v>
      </c>
      <c r="E57" s="1028"/>
      <c r="F57" s="1029"/>
    </row>
  </sheetData>
  <mergeCells count="1">
    <mergeCell ref="B1:E2"/>
  </mergeCells>
  <phoneticPr fontId="43" type="noConversion"/>
  <pageMargins left="0.7" right="0.7" top="0.75" bottom="0.75" header="0.3" footer="0.3"/>
  <pageSetup paperSize="9" scale="88"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1"/>
  <sheetViews>
    <sheetView showGridLines="0" topLeftCell="B1" workbookViewId="0">
      <pane xSplit="2" ySplit="4" topLeftCell="D5" activePane="bottomRight" state="frozen"/>
      <selection pane="topRight"/>
      <selection pane="bottomLeft"/>
      <selection pane="bottomRight" activeCell="E7" sqref="E7:F7"/>
    </sheetView>
  </sheetViews>
  <sheetFormatPr defaultColWidth="9" defaultRowHeight="13.5"/>
  <cols>
    <col min="1" max="1" width="30" style="74" hidden="1" customWidth="1"/>
    <col min="2" max="2" width="6.75" style="359" customWidth="1"/>
    <col min="3" max="3" width="20.625" style="74" customWidth="1"/>
    <col min="4" max="4" width="18.625" style="74" customWidth="1"/>
    <col min="5" max="20" width="16.625" style="74" customWidth="1"/>
    <col min="21" max="16384" width="9" style="74"/>
  </cols>
  <sheetData>
    <row r="1" spans="1:20" ht="28.15" customHeight="1">
      <c r="B1" s="1240" t="s">
        <v>869</v>
      </c>
      <c r="C1" s="1077"/>
      <c r="D1" s="1077"/>
      <c r="E1" s="1077"/>
      <c r="F1" s="1077"/>
      <c r="G1" s="1077"/>
      <c r="H1" s="1077"/>
    </row>
    <row r="2" spans="1:20" ht="28.15" customHeight="1">
      <c r="B2" s="1078"/>
      <c r="C2" s="1078"/>
      <c r="D2" s="1078"/>
      <c r="E2" s="1078"/>
      <c r="F2" s="1078"/>
      <c r="G2" s="1078"/>
      <c r="H2" s="1078"/>
    </row>
    <row r="3" spans="1:20" ht="18" customHeight="1">
      <c r="A3" s="360"/>
      <c r="B3" s="1254" t="s">
        <v>448</v>
      </c>
      <c r="C3" s="1256" t="s">
        <v>272</v>
      </c>
      <c r="D3" s="1258" t="s">
        <v>399</v>
      </c>
      <c r="E3" s="1247" t="s">
        <v>180</v>
      </c>
      <c r="F3" s="1247"/>
      <c r="G3" s="1247"/>
      <c r="H3" s="1247"/>
      <c r="I3" s="1251" t="s">
        <v>181</v>
      </c>
      <c r="J3" s="1251"/>
      <c r="K3" s="1251"/>
      <c r="L3" s="1251"/>
      <c r="M3" s="1251" t="s">
        <v>182</v>
      </c>
      <c r="N3" s="1251"/>
      <c r="O3" s="1251"/>
      <c r="P3" s="1251"/>
      <c r="Q3" s="1251" t="s">
        <v>183</v>
      </c>
      <c r="R3" s="1251"/>
      <c r="S3" s="1251"/>
      <c r="T3" s="1252"/>
    </row>
    <row r="4" spans="1:20" ht="18" customHeight="1">
      <c r="A4" s="361"/>
      <c r="B4" s="1255"/>
      <c r="C4" s="1257"/>
      <c r="D4" s="1259"/>
      <c r="E4" s="362" t="s">
        <v>184</v>
      </c>
      <c r="F4" s="362" t="s">
        <v>185</v>
      </c>
      <c r="G4" s="362" t="s">
        <v>186</v>
      </c>
      <c r="H4" s="362" t="s">
        <v>187</v>
      </c>
      <c r="I4" s="405" t="s">
        <v>184</v>
      </c>
      <c r="J4" s="405" t="s">
        <v>185</v>
      </c>
      <c r="K4" s="405" t="s">
        <v>186</v>
      </c>
      <c r="L4" s="405" t="s">
        <v>187</v>
      </c>
      <c r="M4" s="405" t="s">
        <v>184</v>
      </c>
      <c r="N4" s="405" t="s">
        <v>185</v>
      </c>
      <c r="O4" s="405" t="s">
        <v>186</v>
      </c>
      <c r="P4" s="405" t="s">
        <v>187</v>
      </c>
      <c r="Q4" s="405" t="s">
        <v>184</v>
      </c>
      <c r="R4" s="405" t="s">
        <v>185</v>
      </c>
      <c r="S4" s="405" t="s">
        <v>186</v>
      </c>
      <c r="T4" s="409" t="s">
        <v>187</v>
      </c>
    </row>
    <row r="5" spans="1:20" ht="18" customHeight="1">
      <c r="A5" s="360" t="s">
        <v>870</v>
      </c>
      <c r="B5" s="363" t="s">
        <v>276</v>
      </c>
      <c r="C5" s="364" t="s">
        <v>871</v>
      </c>
      <c r="D5" s="365">
        <f>IFERROR(D6+D12+D13+D14+D15+D16,0)</f>
        <v>434829.07141767611</v>
      </c>
      <c r="E5" s="366">
        <f>IFERROR(E6+E12+E13+E14+E15+E16,0)</f>
        <v>138404.93400644741</v>
      </c>
      <c r="F5" s="367">
        <f t="shared" ref="F5:T5" si="0">IFERROR(F6+F12+F13+F14+F15+F16,0)</f>
        <v>168164.58906267115</v>
      </c>
      <c r="G5" s="367">
        <f t="shared" si="0"/>
        <v>12074.970733259785</v>
      </c>
      <c r="H5" s="367">
        <f t="shared" si="0"/>
        <v>11750.858104847643</v>
      </c>
      <c r="I5" s="367">
        <f t="shared" si="0"/>
        <v>12237.027047465856</v>
      </c>
      <c r="J5" s="367">
        <f t="shared" si="0"/>
        <v>22445.040844234154</v>
      </c>
      <c r="K5" s="367">
        <f t="shared" si="0"/>
        <v>14152.421611431495</v>
      </c>
      <c r="L5" s="367">
        <f t="shared" si="0"/>
        <v>10143.917582131206</v>
      </c>
      <c r="M5" s="367">
        <f t="shared" si="0"/>
        <v>15349.386488289936</v>
      </c>
      <c r="N5" s="367">
        <f t="shared" si="0"/>
        <v>10692.497718077087</v>
      </c>
      <c r="O5" s="367">
        <f t="shared" si="0"/>
        <v>12200.645625805406</v>
      </c>
      <c r="P5" s="367">
        <f t="shared" si="0"/>
        <v>10396.665094945083</v>
      </c>
      <c r="Q5" s="367">
        <f t="shared" si="0"/>
        <v>1119.0545530990039</v>
      </c>
      <c r="R5" s="367">
        <f t="shared" si="0"/>
        <v>868.09027845689388</v>
      </c>
      <c r="S5" s="367">
        <f t="shared" si="0"/>
        <v>345.88037403178248</v>
      </c>
      <c r="T5" s="410">
        <f t="shared" si="0"/>
        <v>-5516.9077075177302</v>
      </c>
    </row>
    <row r="6" spans="1:20" ht="18" customHeight="1">
      <c r="A6" s="368" t="s">
        <v>872</v>
      </c>
      <c r="B6" s="369">
        <v>1</v>
      </c>
      <c r="C6" s="370" t="s">
        <v>873</v>
      </c>
      <c r="D6" s="371">
        <f>IFERROR(SUM(D7:D11),0)</f>
        <v>405058.79392087908</v>
      </c>
      <c r="E6" s="372">
        <f>IFERROR(SUM(E7:E11),0)</f>
        <v>138009.33625504602</v>
      </c>
      <c r="F6" s="373">
        <f t="shared" ref="F6:T6" si="1">IFERROR(SUM(F7:F11),0)</f>
        <v>165499.24148531034</v>
      </c>
      <c r="G6" s="373">
        <f t="shared" si="1"/>
        <v>9538.8129116863438</v>
      </c>
      <c r="H6" s="373">
        <f t="shared" si="1"/>
        <v>9538.8129116863438</v>
      </c>
      <c r="I6" s="373">
        <f t="shared" si="1"/>
        <v>9538.8129116863438</v>
      </c>
      <c r="J6" s="373">
        <f t="shared" si="1"/>
        <v>9538.8129116863438</v>
      </c>
      <c r="K6" s="373">
        <f t="shared" si="1"/>
        <v>9538.8129116863438</v>
      </c>
      <c r="L6" s="373">
        <f t="shared" si="1"/>
        <v>9538.8129116863438</v>
      </c>
      <c r="M6" s="373">
        <f t="shared" si="1"/>
        <v>9538.8129116863438</v>
      </c>
      <c r="N6" s="373">
        <f t="shared" si="1"/>
        <v>9538.8129116863438</v>
      </c>
      <c r="O6" s="373">
        <f t="shared" si="1"/>
        <v>9473.7443365599829</v>
      </c>
      <c r="P6" s="373">
        <f t="shared" si="1"/>
        <v>10250.347241087984</v>
      </c>
      <c r="Q6" s="373">
        <f t="shared" si="1"/>
        <v>0</v>
      </c>
      <c r="R6" s="373">
        <f t="shared" si="1"/>
        <v>0</v>
      </c>
      <c r="S6" s="373">
        <f t="shared" si="1"/>
        <v>0</v>
      </c>
      <c r="T6" s="371">
        <f t="shared" si="1"/>
        <v>5515.621309384057</v>
      </c>
    </row>
    <row r="7" spans="1:20" ht="18" customHeight="1">
      <c r="A7" s="374" t="s">
        <v>874</v>
      </c>
      <c r="B7" s="375">
        <v>1.1000000000000001</v>
      </c>
      <c r="C7" s="376" t="s">
        <v>875</v>
      </c>
      <c r="D7" s="377">
        <f>IFERROR(基础运算!C5,0)</f>
        <v>288498.24436494999</v>
      </c>
      <c r="E7" s="378">
        <f>IFERROR(基础运算!E5,0)</f>
        <v>135000</v>
      </c>
      <c r="F7" s="379">
        <f>IFERROR(基础运算!F5,0)</f>
        <v>153498.24436494999</v>
      </c>
      <c r="G7" s="379">
        <f>IFERROR(基础运算!G5,0)</f>
        <v>0</v>
      </c>
      <c r="H7" s="379">
        <f>IFERROR(基础运算!H5,0)</f>
        <v>0</v>
      </c>
      <c r="I7" s="379">
        <f>IFERROR(基础运算!I5,0)</f>
        <v>0</v>
      </c>
      <c r="J7" s="379">
        <f>IFERROR(基础运算!J5,0)</f>
        <v>0</v>
      </c>
      <c r="K7" s="379">
        <f>IFERROR(基础运算!K5,0)</f>
        <v>0</v>
      </c>
      <c r="L7" s="379">
        <f>IFERROR(基础运算!L5,0)</f>
        <v>0</v>
      </c>
      <c r="M7" s="379">
        <f>IFERROR(基础运算!M5,0)</f>
        <v>0</v>
      </c>
      <c r="N7" s="379">
        <f>IFERROR(基础运算!N5,0)</f>
        <v>0</v>
      </c>
      <c r="O7" s="379">
        <f>IFERROR(基础运算!O5,0)</f>
        <v>0</v>
      </c>
      <c r="P7" s="379">
        <f>IFERROR(基础运算!P5,0)</f>
        <v>0</v>
      </c>
      <c r="Q7" s="379">
        <f>IFERROR(基础运算!Q5,0)</f>
        <v>0</v>
      </c>
      <c r="R7" s="379">
        <f>IFERROR(基础运算!R5,0)</f>
        <v>0</v>
      </c>
      <c r="S7" s="379">
        <f>IFERROR(基础运算!S5,0)</f>
        <v>0</v>
      </c>
      <c r="T7" s="377">
        <f>IFERROR(基础运算!T5,0)</f>
        <v>0</v>
      </c>
    </row>
    <row r="8" spans="1:20" ht="18" customHeight="1">
      <c r="A8" s="368" t="s">
        <v>876</v>
      </c>
      <c r="B8" s="369">
        <v>1.2</v>
      </c>
      <c r="C8" s="370" t="s">
        <v>497</v>
      </c>
      <c r="D8" s="371">
        <f>IFERROR(基础运算!C6,0)</f>
        <v>5471.5204637200013</v>
      </c>
      <c r="E8" s="380">
        <f>IFERROR(基础运算!E6,0)</f>
        <v>3009.3362550460006</v>
      </c>
      <c r="F8" s="381">
        <f>IFERROR(基础运算!F6,0)</f>
        <v>2462.1842086740007</v>
      </c>
      <c r="G8" s="381">
        <f>IFERROR(基础运算!G6,0)</f>
        <v>0</v>
      </c>
      <c r="H8" s="381">
        <f>IFERROR(基础运算!H6,0)</f>
        <v>0</v>
      </c>
      <c r="I8" s="381">
        <f>IFERROR(基础运算!I6,0)</f>
        <v>0</v>
      </c>
      <c r="J8" s="381">
        <f>IFERROR(基础运算!J6,0)</f>
        <v>0</v>
      </c>
      <c r="K8" s="381">
        <f>IFERROR(基础运算!K6,0)</f>
        <v>0</v>
      </c>
      <c r="L8" s="381">
        <f>IFERROR(基础运算!L6,0)</f>
        <v>0</v>
      </c>
      <c r="M8" s="381">
        <f>IFERROR(基础运算!M6,0)</f>
        <v>0</v>
      </c>
      <c r="N8" s="381">
        <f>IFERROR(基础运算!N6,0)</f>
        <v>0</v>
      </c>
      <c r="O8" s="381">
        <f>IFERROR(基础运算!O6,0)</f>
        <v>0</v>
      </c>
      <c r="P8" s="381">
        <f>IFERROR(基础运算!P6,0)</f>
        <v>0</v>
      </c>
      <c r="Q8" s="381">
        <f>IFERROR(基础运算!Q6,0)</f>
        <v>0</v>
      </c>
      <c r="R8" s="381">
        <f>IFERROR(基础运算!R6,0)</f>
        <v>0</v>
      </c>
      <c r="S8" s="381">
        <f>IFERROR(基础运算!S6,0)</f>
        <v>0</v>
      </c>
      <c r="T8" s="411">
        <f>IFERROR(基础运算!T6,0)</f>
        <v>0</v>
      </c>
    </row>
    <row r="9" spans="1:20" ht="18" customHeight="1">
      <c r="A9" s="374" t="s">
        <v>877</v>
      </c>
      <c r="B9" s="375">
        <v>1.3</v>
      </c>
      <c r="C9" s="376" t="s">
        <v>878</v>
      </c>
      <c r="D9" s="377">
        <f>IFERROR(基础运算!C7,0)</f>
        <v>91395.502728569103</v>
      </c>
      <c r="E9" s="382">
        <f>IFERROR(基础运算!E7,0)</f>
        <v>0</v>
      </c>
      <c r="F9" s="383">
        <f>IFERROR(基础运算!F7,0)</f>
        <v>7838.0083620992527</v>
      </c>
      <c r="G9" s="383">
        <f>IFERROR(基础运算!G7,0)</f>
        <v>7838.0083620992527</v>
      </c>
      <c r="H9" s="383">
        <f>IFERROR(基础运算!H7,0)</f>
        <v>7838.0083620992527</v>
      </c>
      <c r="I9" s="383">
        <f>IFERROR(基础运算!I7,0)</f>
        <v>7838.0083620992527</v>
      </c>
      <c r="J9" s="383">
        <f>IFERROR(基础运算!J7,0)</f>
        <v>7838.0083620992527</v>
      </c>
      <c r="K9" s="383">
        <f>IFERROR(基础运算!K7,0)</f>
        <v>7838.0083620992527</v>
      </c>
      <c r="L9" s="383">
        <f>IFERROR(基础运算!L7,0)</f>
        <v>7838.0083620992527</v>
      </c>
      <c r="M9" s="383">
        <f>IFERROR(基础运算!M7,0)</f>
        <v>7838.0083620992527</v>
      </c>
      <c r="N9" s="383">
        <f>IFERROR(基础运算!N7,0)</f>
        <v>7838.0083620992527</v>
      </c>
      <c r="O9" s="383">
        <f>IFERROR(基础运算!O7,0)</f>
        <v>7772.9397869728909</v>
      </c>
      <c r="P9" s="383">
        <f>IFERROR(基础运算!P7,0)</f>
        <v>8549.542691500892</v>
      </c>
      <c r="Q9" s="383">
        <f>IFERROR(基础运算!Q7,0)</f>
        <v>0</v>
      </c>
      <c r="R9" s="383">
        <f>IFERROR(基础运算!R7,0)</f>
        <v>0</v>
      </c>
      <c r="S9" s="383">
        <f>IFERROR(基础运算!S7,0)</f>
        <v>0</v>
      </c>
      <c r="T9" s="412">
        <f>IFERROR(基础运算!T7,0)</f>
        <v>4530.9449912020564</v>
      </c>
    </row>
    <row r="10" spans="1:20" ht="18" customHeight="1">
      <c r="A10" s="368" t="s">
        <v>879</v>
      </c>
      <c r="B10" s="369">
        <v>1.4</v>
      </c>
      <c r="C10" s="370" t="s">
        <v>549</v>
      </c>
      <c r="D10" s="371">
        <f>IFERROR(基础运算!C8,0)</f>
        <v>13659.551743440003</v>
      </c>
      <c r="E10" s="380">
        <f>IFERROR(基础运算!E8,0)</f>
        <v>0</v>
      </c>
      <c r="F10" s="381">
        <f>IFERROR(基础运算!F8,0)</f>
        <v>1179.6885596607274</v>
      </c>
      <c r="G10" s="381">
        <f>IFERROR(基础运算!G8,0)</f>
        <v>1179.6885596607274</v>
      </c>
      <c r="H10" s="381">
        <f>IFERROR(基础运算!H8,0)</f>
        <v>1179.6885596607274</v>
      </c>
      <c r="I10" s="381">
        <f>IFERROR(基础运算!I8,0)</f>
        <v>1179.6885596607274</v>
      </c>
      <c r="J10" s="381">
        <f>IFERROR(基础运算!J8,0)</f>
        <v>1179.6885596607274</v>
      </c>
      <c r="K10" s="381">
        <f>IFERROR(基础运算!K8,0)</f>
        <v>1179.6885596607274</v>
      </c>
      <c r="L10" s="381">
        <f>IFERROR(基础运算!L8,0)</f>
        <v>1179.6885596607274</v>
      </c>
      <c r="M10" s="381">
        <f>IFERROR(基础运算!M8,0)</f>
        <v>1179.6885596607274</v>
      </c>
      <c r="N10" s="381">
        <f>IFERROR(基础运算!N8,0)</f>
        <v>1179.6885596607274</v>
      </c>
      <c r="O10" s="381">
        <f>IFERROR(基础运算!O8,0)</f>
        <v>1179.6885596607274</v>
      </c>
      <c r="P10" s="381">
        <f>IFERROR(基础运算!P8,0)</f>
        <v>1179.6885596607274</v>
      </c>
      <c r="Q10" s="381">
        <f>IFERROR(基础运算!Q8,0)</f>
        <v>0</v>
      </c>
      <c r="R10" s="381">
        <f>IFERROR(基础运算!R8,0)</f>
        <v>0</v>
      </c>
      <c r="S10" s="381">
        <f>IFERROR(基础运算!S8,0)</f>
        <v>0</v>
      </c>
      <c r="T10" s="411">
        <f>IFERROR(基础运算!T8,0)</f>
        <v>682.97758717200009</v>
      </c>
    </row>
    <row r="11" spans="1:20" ht="18" customHeight="1">
      <c r="A11" s="374" t="s">
        <v>880</v>
      </c>
      <c r="B11" s="375">
        <v>1.5</v>
      </c>
      <c r="C11" s="376" t="s">
        <v>881</v>
      </c>
      <c r="D11" s="377">
        <f>IFERROR(基础运算!C9,0)</f>
        <v>6033.9746202000024</v>
      </c>
      <c r="E11" s="382">
        <f>IFERROR(基础运算!E9,0)</f>
        <v>0</v>
      </c>
      <c r="F11" s="383">
        <f>IFERROR(基础运算!F9,0)</f>
        <v>521.1159899263638</v>
      </c>
      <c r="G11" s="383">
        <f>IFERROR(基础运算!G9,0)</f>
        <v>521.1159899263638</v>
      </c>
      <c r="H11" s="383">
        <f>IFERROR(基础运算!H9,0)</f>
        <v>521.1159899263638</v>
      </c>
      <c r="I11" s="383">
        <f>IFERROR(基础运算!I9,0)</f>
        <v>521.1159899263638</v>
      </c>
      <c r="J11" s="383">
        <f>IFERROR(基础运算!J9,0)</f>
        <v>521.1159899263638</v>
      </c>
      <c r="K11" s="383">
        <f>IFERROR(基础运算!K9,0)</f>
        <v>521.1159899263638</v>
      </c>
      <c r="L11" s="383">
        <f>IFERROR(基础运算!L9,0)</f>
        <v>521.1159899263638</v>
      </c>
      <c r="M11" s="383">
        <f>IFERROR(基础运算!M9,0)</f>
        <v>521.1159899263638</v>
      </c>
      <c r="N11" s="383">
        <f>IFERROR(基础运算!N9,0)</f>
        <v>521.1159899263638</v>
      </c>
      <c r="O11" s="383">
        <f>IFERROR(基础运算!O9,0)</f>
        <v>521.1159899263638</v>
      </c>
      <c r="P11" s="383">
        <f>IFERROR(基础运算!P9,0)</f>
        <v>521.1159899263638</v>
      </c>
      <c r="Q11" s="383">
        <f>IFERROR(基础运算!Q9,0)</f>
        <v>0</v>
      </c>
      <c r="R11" s="383">
        <f>IFERROR(基础运算!R9,0)</f>
        <v>0</v>
      </c>
      <c r="S11" s="383">
        <f>IFERROR(基础运算!S9,0)</f>
        <v>0</v>
      </c>
      <c r="T11" s="412">
        <f>IFERROR(基础运算!T9,0)</f>
        <v>301.69873101000007</v>
      </c>
    </row>
    <row r="12" spans="1:20" ht="18" customHeight="1">
      <c r="A12" s="368" t="s">
        <v>882</v>
      </c>
      <c r="B12" s="369">
        <v>2</v>
      </c>
      <c r="C12" s="370" t="s">
        <v>584</v>
      </c>
      <c r="D12" s="371">
        <f>IFERROR(基础运算!C10,0)</f>
        <v>3496.8164866778739</v>
      </c>
      <c r="E12" s="380">
        <f>IFERROR(基础运算!E10,0)</f>
        <v>90.280087651380015</v>
      </c>
      <c r="F12" s="381">
        <f>IFERROR(基础运算!F10,0)</f>
        <v>360.02991361081035</v>
      </c>
      <c r="G12" s="381">
        <f>IFERROR(基础运算!G10,0)</f>
        <v>286.16438735059029</v>
      </c>
      <c r="H12" s="381">
        <f>IFERROR(基础运算!H10,0)</f>
        <v>286.16438735059029</v>
      </c>
      <c r="I12" s="381">
        <f>IFERROR(基础运算!I10,0)</f>
        <v>286.16438735059029</v>
      </c>
      <c r="J12" s="381">
        <f>IFERROR(基础运算!J10,0)</f>
        <v>286.16438735059029</v>
      </c>
      <c r="K12" s="381">
        <f>IFERROR(基础运算!K10,0)</f>
        <v>286.16438735059029</v>
      </c>
      <c r="L12" s="381">
        <f>IFERROR(基础运算!L10,0)</f>
        <v>286.16438735059029</v>
      </c>
      <c r="M12" s="381">
        <f>IFERROR(基础运算!M10,0)</f>
        <v>286.16438735059029</v>
      </c>
      <c r="N12" s="381">
        <f>IFERROR(基础运算!N10,0)</f>
        <v>286.16438735059029</v>
      </c>
      <c r="O12" s="381">
        <f>IFERROR(基础运算!O10,0)</f>
        <v>284.21233009679946</v>
      </c>
      <c r="P12" s="381">
        <f>IFERROR(基础运算!P10,0)</f>
        <v>307.5104172326395</v>
      </c>
      <c r="Q12" s="381">
        <f>IFERROR(基础运算!Q10,0)</f>
        <v>0</v>
      </c>
      <c r="R12" s="381">
        <f>IFERROR(基础运算!R10,0)</f>
        <v>0</v>
      </c>
      <c r="S12" s="381">
        <f>IFERROR(基础运算!S10,0)</f>
        <v>0</v>
      </c>
      <c r="T12" s="411">
        <f>IFERROR(基础运算!T10,0)</f>
        <v>165.46863928152169</v>
      </c>
    </row>
    <row r="13" spans="1:20" ht="18" customHeight="1">
      <c r="A13" s="374" t="s">
        <v>883</v>
      </c>
      <c r="B13" s="375">
        <v>3</v>
      </c>
      <c r="C13" s="376" t="s">
        <v>594</v>
      </c>
      <c r="D13" s="377">
        <f>IFERROR(基础运算!C14,0)</f>
        <v>4885.0826200000001</v>
      </c>
      <c r="E13" s="378">
        <f>IFERROR(基础运算!E14,0)</f>
        <v>305.31766375000001</v>
      </c>
      <c r="F13" s="379">
        <f>IFERROR(基础运算!F14,0)</f>
        <v>305.31766375000001</v>
      </c>
      <c r="G13" s="379">
        <f>IFERROR(基础运算!G14,0)</f>
        <v>305.31766375000001</v>
      </c>
      <c r="H13" s="379">
        <f>IFERROR(基础运算!H14,0)</f>
        <v>305.31766375000001</v>
      </c>
      <c r="I13" s="379">
        <f>IFERROR(基础运算!I14,0)</f>
        <v>305.31766375000001</v>
      </c>
      <c r="J13" s="379">
        <f>IFERROR(基础运算!J14,0)</f>
        <v>305.31766375000001</v>
      </c>
      <c r="K13" s="379">
        <f>IFERROR(基础运算!K14,0)</f>
        <v>305.31766375000001</v>
      </c>
      <c r="L13" s="379">
        <f>IFERROR(基础运算!L14,0)</f>
        <v>305.31766375000001</v>
      </c>
      <c r="M13" s="379">
        <f>IFERROR(基础运算!M14,0)</f>
        <v>305.31766375000001</v>
      </c>
      <c r="N13" s="379">
        <f>IFERROR(基础运算!N14,0)</f>
        <v>305.31766375000001</v>
      </c>
      <c r="O13" s="379">
        <f>IFERROR(基础运算!O14,0)</f>
        <v>305.31766375000001</v>
      </c>
      <c r="P13" s="379">
        <f>IFERROR(基础运算!P14,0)</f>
        <v>305.31766375000001</v>
      </c>
      <c r="Q13" s="379">
        <f>IFERROR(基础运算!Q14,0)</f>
        <v>305.31766375000001</v>
      </c>
      <c r="R13" s="379">
        <f>IFERROR(基础运算!R14,0)</f>
        <v>305.31766375000001</v>
      </c>
      <c r="S13" s="379">
        <f>IFERROR(基础运算!S14,0)</f>
        <v>305.31766375000001</v>
      </c>
      <c r="T13" s="377">
        <f>IFERROR(基础运算!T14,0)</f>
        <v>305.31766375000001</v>
      </c>
    </row>
    <row r="14" spans="1:20" ht="18" customHeight="1">
      <c r="A14" s="368" t="s">
        <v>884</v>
      </c>
      <c r="B14" s="369">
        <v>4</v>
      </c>
      <c r="C14" s="370" t="s">
        <v>598</v>
      </c>
      <c r="D14" s="371">
        <f>IFERROR(基础运算!C16,0)</f>
        <v>13235.690026</v>
      </c>
      <c r="E14" s="372">
        <f>IFERROR(基础运算!E16,0)</f>
        <v>0</v>
      </c>
      <c r="F14" s="373">
        <f>IFERROR(基础运算!F16,0)</f>
        <v>2000</v>
      </c>
      <c r="G14" s="373">
        <f>IFERROR(基础运算!G16,0)</f>
        <v>538.31229004800002</v>
      </c>
      <c r="H14" s="373">
        <f>IFERROR(基础运算!H16,0)</f>
        <v>448.59357504000008</v>
      </c>
      <c r="I14" s="373">
        <f>IFERROR(基础运算!I16,0)</f>
        <v>583.17164755200008</v>
      </c>
      <c r="J14" s="373">
        <f>IFERROR(基础运算!J16,0)</f>
        <v>3408.8865390600008</v>
      </c>
      <c r="K14" s="373">
        <f>IFERROR(基础运算!K16,0)</f>
        <v>1113.3785076000001</v>
      </c>
      <c r="L14" s="373">
        <f>IFERROR(基础运算!L16,0)</f>
        <v>1113.3785076000001</v>
      </c>
      <c r="M14" s="373">
        <f>IFERROR(基础运算!M16,0)</f>
        <v>1444.71441138</v>
      </c>
      <c r="N14" s="373">
        <f>IFERROR(基础运算!N16,0)</f>
        <v>892.48790508000002</v>
      </c>
      <c r="O14" s="373">
        <f>IFERROR(基础运算!O16,0)</f>
        <v>591.65299130000005</v>
      </c>
      <c r="P14" s="373">
        <f>IFERROR(基础运算!P16,0)</f>
        <v>468.55769004000007</v>
      </c>
      <c r="Q14" s="373">
        <f>IFERROR(基础运算!Q16,0)</f>
        <v>358.11238878</v>
      </c>
      <c r="R14" s="373">
        <f>IFERROR(基础运算!R16,0)</f>
        <v>247.66708752000002</v>
      </c>
      <c r="S14" s="373">
        <f>IFERROR(基础运算!S16,0)</f>
        <v>17.850990000000003</v>
      </c>
      <c r="T14" s="371">
        <f>IFERROR(基础运算!T16,0)</f>
        <v>8.9254950000000015</v>
      </c>
    </row>
    <row r="15" spans="1:20" ht="18" customHeight="1">
      <c r="A15" s="374" t="s">
        <v>885</v>
      </c>
      <c r="B15" s="375">
        <v>5</v>
      </c>
      <c r="C15" s="376" t="s">
        <v>605</v>
      </c>
      <c r="D15" s="377">
        <f>IFERROR(基础运算!C17,0)</f>
        <v>8152.688364119138</v>
      </c>
      <c r="E15" s="378">
        <f>IFERROR(基础运算!E17,0)</f>
        <v>0</v>
      </c>
      <c r="F15" s="379">
        <f>IFERROR(基础运算!F17,0)</f>
        <v>0</v>
      </c>
      <c r="G15" s="379">
        <f>IFERROR(基础运算!G17,0)</f>
        <v>721.47159735192668</v>
      </c>
      <c r="H15" s="379">
        <f>IFERROR(基础运算!H17,0)</f>
        <v>601.2263311266056</v>
      </c>
      <c r="I15" s="379">
        <f>IFERROR(基础运算!I17,0)</f>
        <v>781.5942304645871</v>
      </c>
      <c r="J15" s="379">
        <f>IFERROR(基础运算!J17,0)</f>
        <v>4568.7510056807341</v>
      </c>
      <c r="K15" s="379">
        <f>IFERROR(基础运算!K17,0)</f>
        <v>1492.2025470825686</v>
      </c>
      <c r="L15" s="379">
        <f>IFERROR(基础运算!L17,0)</f>
        <v>-2516.3014822177206</v>
      </c>
      <c r="M15" s="379">
        <f>IFERROR(基础运算!M17,0)</f>
        <v>1936.2746000146785</v>
      </c>
      <c r="N15" s="379">
        <f>IFERROR(基础运算!N17,0)</f>
        <v>-1465.7927969876202</v>
      </c>
      <c r="O15" s="379">
        <f>IFERROR(基础运算!O17,0)</f>
        <v>792.961328587156</v>
      </c>
      <c r="P15" s="379">
        <f>IFERROR(基础运算!P17,0)</f>
        <v>-1531.2113911166527</v>
      </c>
      <c r="Q15" s="379">
        <f>IFERROR(基础运算!Q17,0)</f>
        <v>0</v>
      </c>
      <c r="R15" s="379">
        <f>IFERROR(基础运算!R17,0)</f>
        <v>0</v>
      </c>
      <c r="S15" s="379">
        <f>IFERROR(基础运算!S17,0)</f>
        <v>0</v>
      </c>
      <c r="T15" s="377">
        <f>IFERROR(基础运算!T17,0)</f>
        <v>2771.5123941328752</v>
      </c>
    </row>
    <row r="16" spans="1:20" ht="18" customHeight="1">
      <c r="A16" s="368" t="s">
        <v>886</v>
      </c>
      <c r="B16" s="369">
        <v>6</v>
      </c>
      <c r="C16" s="370" t="s">
        <v>887</v>
      </c>
      <c r="D16" s="371">
        <f>IFERROR(基础运算!C19,0)</f>
        <v>0</v>
      </c>
      <c r="E16" s="384">
        <f>IFERROR(基础运算!E19,0)</f>
        <v>0</v>
      </c>
      <c r="F16" s="385">
        <f>IFERROR(基础运算!F19,0)</f>
        <v>0</v>
      </c>
      <c r="G16" s="385">
        <f>IFERROR(基础运算!G19,0)</f>
        <v>684.89188307292272</v>
      </c>
      <c r="H16" s="385">
        <f>IFERROR(基础运算!H19,0)</f>
        <v>570.74323589410233</v>
      </c>
      <c r="I16" s="385">
        <f>IFERROR(基础运算!I19,0)</f>
        <v>741.96620666233298</v>
      </c>
      <c r="J16" s="385">
        <f>IFERROR(基础运算!J19,0)</f>
        <v>4337.1083367064866</v>
      </c>
      <c r="K16" s="385">
        <f>IFERROR(基础运算!K19,0)</f>
        <v>1416.5455939619922</v>
      </c>
      <c r="L16" s="385">
        <f>IFERROR(基础运算!L19,0)</f>
        <v>1416.5455939619922</v>
      </c>
      <c r="M16" s="385">
        <f>IFERROR(基础运算!M19,0)</f>
        <v>1838.1025141083226</v>
      </c>
      <c r="N16" s="385">
        <f>IFERROR(基础运算!N19,0)</f>
        <v>1135.507647197772</v>
      </c>
      <c r="O16" s="385">
        <f>IFERROR(基础运算!O19,0)</f>
        <v>752.756975511468</v>
      </c>
      <c r="P16" s="385">
        <f>IFERROR(基础运算!P19,0)</f>
        <v>596.14347395111406</v>
      </c>
      <c r="Q16" s="385">
        <f>IFERROR(基础运算!Q19,0)</f>
        <v>455.62450056900383</v>
      </c>
      <c r="R16" s="385">
        <f>IFERROR(基础运算!R19,0)</f>
        <v>315.10552718689382</v>
      </c>
      <c r="S16" s="385">
        <f>IFERROR(基础运算!S19,0)</f>
        <v>22.711720281782441</v>
      </c>
      <c r="T16" s="413">
        <f>IFERROR(基础运算!T19,0)</f>
        <v>-14283.753209066184</v>
      </c>
    </row>
    <row r="17" spans="1:20" ht="18" customHeight="1">
      <c r="A17" s="386" t="s">
        <v>888</v>
      </c>
      <c r="B17" s="387" t="s">
        <v>408</v>
      </c>
      <c r="C17" s="388" t="s">
        <v>889</v>
      </c>
      <c r="D17" s="389">
        <f>IFERROR(D18+D19,0)</f>
        <v>488508.26199999999</v>
      </c>
      <c r="E17" s="390">
        <f>IFERROR(E18+E19,0)</f>
        <v>0</v>
      </c>
      <c r="F17" s="391">
        <f t="shared" ref="F17:T17" si="2">IFERROR(F18+F19,0)</f>
        <v>0</v>
      </c>
      <c r="G17" s="391">
        <f t="shared" si="2"/>
        <v>23404.882176000003</v>
      </c>
      <c r="H17" s="391">
        <f t="shared" si="2"/>
        <v>19504.068480000005</v>
      </c>
      <c r="I17" s="391">
        <f t="shared" si="2"/>
        <v>25355.289024000002</v>
      </c>
      <c r="J17" s="391">
        <f t="shared" si="2"/>
        <v>148212.45822</v>
      </c>
      <c r="K17" s="391">
        <f t="shared" si="2"/>
        <v>13107.629175999988</v>
      </c>
      <c r="L17" s="391">
        <f t="shared" si="2"/>
        <v>57232.794206000006</v>
      </c>
      <c r="M17" s="391">
        <f t="shared" si="2"/>
        <v>62813.670060000004</v>
      </c>
      <c r="N17" s="391">
        <f t="shared" si="2"/>
        <v>38803.821960000001</v>
      </c>
      <c r="O17" s="391">
        <f t="shared" si="2"/>
        <v>25724.043100000003</v>
      </c>
      <c r="P17" s="391">
        <f t="shared" si="2"/>
        <v>42434.655995000001</v>
      </c>
      <c r="Q17" s="391">
        <f t="shared" si="2"/>
        <v>19982.620362999998</v>
      </c>
      <c r="R17" s="391">
        <f t="shared" si="2"/>
        <v>10768.134239999999</v>
      </c>
      <c r="S17" s="391">
        <f t="shared" si="2"/>
        <v>776.13000000000011</v>
      </c>
      <c r="T17" s="414">
        <f t="shared" si="2"/>
        <v>388.06500000000187</v>
      </c>
    </row>
    <row r="18" spans="1:20" ht="18" customHeight="1">
      <c r="A18" s="374" t="s">
        <v>890</v>
      </c>
      <c r="B18" s="375">
        <v>1</v>
      </c>
      <c r="C18" s="376" t="s">
        <v>277</v>
      </c>
      <c r="D18" s="377">
        <f>IFERROR(基础运算!C30,0)</f>
        <v>488508.26199999999</v>
      </c>
      <c r="E18" s="378">
        <f>IFERROR(基础运算!E30,0)</f>
        <v>0</v>
      </c>
      <c r="F18" s="379">
        <f>IFERROR(基础运算!F30,0)</f>
        <v>0</v>
      </c>
      <c r="G18" s="379">
        <f>IFERROR(基础运算!G30,0)</f>
        <v>23404.882176000003</v>
      </c>
      <c r="H18" s="379">
        <f>IFERROR(基础运算!H30,0)</f>
        <v>19504.068480000005</v>
      </c>
      <c r="I18" s="379">
        <f>IFERROR(基础运算!I30,0)</f>
        <v>25355.289024000002</v>
      </c>
      <c r="J18" s="379">
        <f>IFERROR(基础运算!J30,0)</f>
        <v>148212.45822</v>
      </c>
      <c r="K18" s="379">
        <f>IFERROR(基础运算!K30,0)</f>
        <v>13107.629175999988</v>
      </c>
      <c r="L18" s="379">
        <f>IFERROR(基础运算!L30,0)</f>
        <v>57232.794206000006</v>
      </c>
      <c r="M18" s="379">
        <f>IFERROR(基础运算!M30,0)</f>
        <v>62813.670060000004</v>
      </c>
      <c r="N18" s="379">
        <f>IFERROR(基础运算!N30,0)</f>
        <v>38803.821960000001</v>
      </c>
      <c r="O18" s="379">
        <f>IFERROR(基础运算!O30,0)</f>
        <v>25724.043100000003</v>
      </c>
      <c r="P18" s="379">
        <f>IFERROR(基础运算!P30,0)</f>
        <v>42434.655995000001</v>
      </c>
      <c r="Q18" s="379">
        <f>IFERROR(基础运算!Q30,0)</f>
        <v>19982.620362999998</v>
      </c>
      <c r="R18" s="379">
        <f>IFERROR(基础运算!R30,0)</f>
        <v>10768.134239999999</v>
      </c>
      <c r="S18" s="379">
        <f>IFERROR(基础运算!S30,0)</f>
        <v>776.13000000000011</v>
      </c>
      <c r="T18" s="377">
        <f>IFERROR(基础运算!T30,0)</f>
        <v>388.06500000000187</v>
      </c>
    </row>
    <row r="19" spans="1:20" ht="18" customHeight="1">
      <c r="A19" s="368" t="s">
        <v>891</v>
      </c>
      <c r="B19" s="369">
        <v>2</v>
      </c>
      <c r="C19" s="370" t="s">
        <v>892</v>
      </c>
      <c r="D19" s="371">
        <f>IFERROR(基础运算!C28,0)</f>
        <v>0</v>
      </c>
      <c r="E19" s="372">
        <f>IFERROR(基础运算!E28,0)</f>
        <v>0</v>
      </c>
      <c r="F19" s="373">
        <f>IFERROR(基础运算!F28,0)</f>
        <v>0</v>
      </c>
      <c r="G19" s="373">
        <f>IFERROR(基础运算!G28,0)</f>
        <v>0</v>
      </c>
      <c r="H19" s="373">
        <f>IFERROR(基础运算!H28,0)</f>
        <v>0</v>
      </c>
      <c r="I19" s="373">
        <f>IFERROR(基础运算!I28,0)</f>
        <v>0</v>
      </c>
      <c r="J19" s="373">
        <f>IFERROR(基础运算!J28,0)</f>
        <v>0</v>
      </c>
      <c r="K19" s="373">
        <f>IFERROR(基础运算!K28,0)</f>
        <v>0</v>
      </c>
      <c r="L19" s="373">
        <f>IFERROR(基础运算!L28,0)</f>
        <v>0</v>
      </c>
      <c r="M19" s="373">
        <f>IFERROR(基础运算!M28,0)</f>
        <v>0</v>
      </c>
      <c r="N19" s="373">
        <f>IFERROR(基础运算!N28,0)</f>
        <v>0</v>
      </c>
      <c r="O19" s="373">
        <f>IFERROR(基础运算!O28,0)</f>
        <v>0</v>
      </c>
      <c r="P19" s="373">
        <f>IFERROR(基础运算!P28,0)</f>
        <v>0</v>
      </c>
      <c r="Q19" s="373">
        <f>IFERROR(基础运算!Q28,0)</f>
        <v>0</v>
      </c>
      <c r="R19" s="373">
        <f>IFERROR(基础运算!R28,0)</f>
        <v>0</v>
      </c>
      <c r="S19" s="373">
        <f>IFERROR(基础运算!S28,0)</f>
        <v>0</v>
      </c>
      <c r="T19" s="371">
        <f>IFERROR(基础运算!T28,0)</f>
        <v>0</v>
      </c>
    </row>
    <row r="20" spans="1:20" ht="18" customHeight="1">
      <c r="A20" s="386" t="s">
        <v>893</v>
      </c>
      <c r="B20" s="387" t="s">
        <v>412</v>
      </c>
      <c r="C20" s="388" t="s">
        <v>894</v>
      </c>
      <c r="D20" s="389">
        <f>IFERROR(D17-D5,0)</f>
        <v>53679.190582323878</v>
      </c>
      <c r="E20" s="390">
        <f>IFERROR(E17-E5,0)</f>
        <v>-138404.93400644741</v>
      </c>
      <c r="F20" s="391">
        <f t="shared" ref="F20:T20" si="3">IFERROR(F17-F5,0)</f>
        <v>-168164.58906267115</v>
      </c>
      <c r="G20" s="391">
        <f t="shared" si="3"/>
        <v>11329.911442740218</v>
      </c>
      <c r="H20" s="391">
        <f t="shared" si="3"/>
        <v>7753.2103751523628</v>
      </c>
      <c r="I20" s="391">
        <f t="shared" si="3"/>
        <v>13118.261976534146</v>
      </c>
      <c r="J20" s="391">
        <f t="shared" si="3"/>
        <v>125767.41737576584</v>
      </c>
      <c r="K20" s="391">
        <f t="shared" si="3"/>
        <v>-1044.7924354315073</v>
      </c>
      <c r="L20" s="391">
        <f t="shared" si="3"/>
        <v>47088.876623868797</v>
      </c>
      <c r="M20" s="391">
        <f t="shared" si="3"/>
        <v>47464.283571710068</v>
      </c>
      <c r="N20" s="391">
        <f t="shared" si="3"/>
        <v>28111.324241922914</v>
      </c>
      <c r="O20" s="391">
        <f t="shared" si="3"/>
        <v>13523.397474194597</v>
      </c>
      <c r="P20" s="391">
        <f t="shared" si="3"/>
        <v>32037.990900054916</v>
      </c>
      <c r="Q20" s="391">
        <f t="shared" si="3"/>
        <v>18863.565809900996</v>
      </c>
      <c r="R20" s="391">
        <f t="shared" si="3"/>
        <v>9900.043961543106</v>
      </c>
      <c r="S20" s="391">
        <f t="shared" si="3"/>
        <v>430.24962596821763</v>
      </c>
      <c r="T20" s="414">
        <f t="shared" si="3"/>
        <v>5904.9727075177325</v>
      </c>
    </row>
    <row r="21" spans="1:20" ht="18" customHeight="1">
      <c r="A21" s="374" t="s">
        <v>895</v>
      </c>
      <c r="B21" s="1253" t="s">
        <v>896</v>
      </c>
      <c r="C21" s="1253"/>
      <c r="D21" s="377">
        <f>IFERROR(基础运算!C20,0)</f>
        <v>6644.4320321881678</v>
      </c>
      <c r="E21" s="378">
        <f>IFERROR(基础运算!E20,0)</f>
        <v>0</v>
      </c>
      <c r="F21" s="379">
        <f>IFERROR(基础运算!F20,0)</f>
        <v>0</v>
      </c>
      <c r="G21" s="379">
        <f>IFERROR(基础运算!G20,0)</f>
        <v>381.03678470405043</v>
      </c>
      <c r="H21" s="379">
        <f>IFERROR(基础运算!H20,0)</f>
        <v>319.11837877188941</v>
      </c>
      <c r="I21" s="379">
        <f>IFERROR(基础运算!I20,0)</f>
        <v>425.14882062824512</v>
      </c>
      <c r="J21" s="379">
        <f>IFERROR(基础运算!J20,0)</f>
        <v>2970.6082025981968</v>
      </c>
      <c r="K21" s="379">
        <f>IFERROR(基础运算!K20,0)</f>
        <v>904.18182083765237</v>
      </c>
      <c r="L21" s="379">
        <f>IFERROR(基础运算!L20,0)</f>
        <v>914.55623074794426</v>
      </c>
      <c r="M21" s="379">
        <f>IFERROR(基础运算!M20,0)</f>
        <v>1204.57667384354</v>
      </c>
      <c r="N21" s="379">
        <f>IFERROR(基础运算!N20,0)</f>
        <v>716.7078448350544</v>
      </c>
      <c r="O21" s="379">
        <f>IFERROR(基础运算!O20,0)</f>
        <v>444.30341738841906</v>
      </c>
      <c r="P21" s="379">
        <f>IFERROR(基础运算!P20,0)</f>
        <v>341.31519913884767</v>
      </c>
      <c r="Q21" s="379">
        <f>IFERROR(基础运算!Q20,0)</f>
        <v>0</v>
      </c>
      <c r="R21" s="379">
        <f>IFERROR(基础运算!R20,0)</f>
        <v>0</v>
      </c>
      <c r="S21" s="379">
        <f>IFERROR(基础运算!S20,0)</f>
        <v>0</v>
      </c>
      <c r="T21" s="377">
        <f>IFERROR(基础运算!T20,0)</f>
        <v>0</v>
      </c>
    </row>
    <row r="22" spans="1:20" ht="18" customHeight="1">
      <c r="A22" s="368" t="s">
        <v>897</v>
      </c>
      <c r="B22" s="1250" t="s">
        <v>646</v>
      </c>
      <c r="C22" s="1250"/>
      <c r="D22" s="392">
        <f>现值系数</f>
        <v>0.06</v>
      </c>
      <c r="E22" s="393"/>
      <c r="F22" s="394"/>
      <c r="G22" s="394"/>
      <c r="H22" s="394"/>
      <c r="I22" s="406"/>
      <c r="J22" s="406"/>
      <c r="K22" s="406"/>
      <c r="L22" s="406"/>
      <c r="M22" s="406"/>
      <c r="N22" s="406"/>
      <c r="O22" s="406"/>
      <c r="P22" s="406"/>
      <c r="Q22" s="406"/>
      <c r="R22" s="406"/>
      <c r="S22" s="406"/>
      <c r="T22" s="415"/>
    </row>
    <row r="23" spans="1:20" ht="18" customHeight="1">
      <c r="A23" s="374" t="s">
        <v>898</v>
      </c>
      <c r="B23" s="1241" t="s">
        <v>816</v>
      </c>
      <c r="C23" s="1241"/>
      <c r="D23" s="336"/>
      <c r="E23" s="378">
        <f>IFERROR(基础运算!E42,0)</f>
        <v>-138845.08038644737</v>
      </c>
      <c r="F23" s="379">
        <f>IFERROR(基础运算!F42,0)</f>
        <v>-168189.9919199768</v>
      </c>
      <c r="G23" s="379">
        <f>IFERROR(基础运算!G42,0)</f>
        <v>10849.7066172305</v>
      </c>
      <c r="H23" s="379">
        <f>IFERROR(基础运算!H42,0)</f>
        <v>7408.689139074806</v>
      </c>
      <c r="I23" s="379">
        <f>IFERROR(基础运算!I42,0)</f>
        <v>12609.673855182691</v>
      </c>
      <c r="J23" s="379">
        <f>IFERROR(基础运算!J42,0)</f>
        <v>122771.40631586198</v>
      </c>
      <c r="K23" s="379">
        <f>IFERROR(基础运算!K42,0)</f>
        <v>-2015.8747532159923</v>
      </c>
      <c r="L23" s="379">
        <f>IFERROR(基础运算!L42,0)</f>
        <v>46148.917535815184</v>
      </c>
      <c r="M23" s="379">
        <f>IFERROR(基础运算!M42,0)</f>
        <v>46207.295497465908</v>
      </c>
      <c r="N23" s="379">
        <f>IFERROR(基础运算!N42,0)</f>
        <v>27369.213539782191</v>
      </c>
      <c r="O23" s="379">
        <f>IFERROR(基础运算!O42,0)</f>
        <v>13041.88669568279</v>
      </c>
      <c r="P23" s="379">
        <f>IFERROR(基础运算!P42,0)</f>
        <v>31688.533896549401</v>
      </c>
      <c r="Q23" s="379">
        <f>IFERROR(基础运算!Q42,0)</f>
        <v>18850.993203213136</v>
      </c>
      <c r="R23" s="379">
        <f>IFERROR(基础运算!R42,0)</f>
        <v>9891.9021571764388</v>
      </c>
      <c r="S23" s="379">
        <f>IFERROR(基础运算!S42,0)</f>
        <v>421.82245871285465</v>
      </c>
      <c r="T23" s="377">
        <f>IFERROR(基础运算!T42,0)</f>
        <v>5896.8309031510653</v>
      </c>
    </row>
    <row r="24" spans="1:20" ht="18" customHeight="1">
      <c r="A24" s="368" t="s">
        <v>899</v>
      </c>
      <c r="B24" s="1242" t="s">
        <v>818</v>
      </c>
      <c r="C24" s="1242"/>
      <c r="D24" s="327"/>
      <c r="E24" s="372">
        <f>IFERROR(基础运算!E43,0)</f>
        <v>-138845.08038644737</v>
      </c>
      <c r="F24" s="373">
        <f>IFERROR(基础运算!F43,0)</f>
        <v>-307035.07230642415</v>
      </c>
      <c r="G24" s="373">
        <f>IFERROR(基础运算!G43,0)</f>
        <v>-296185.36568919366</v>
      </c>
      <c r="H24" s="373">
        <f>IFERROR(基础运算!H43,0)</f>
        <v>-288776.67655011883</v>
      </c>
      <c r="I24" s="373">
        <f>IFERROR(基础运算!I43,0)</f>
        <v>-276167.00269493612</v>
      </c>
      <c r="J24" s="373">
        <f>IFERROR(基础运算!J43,0)</f>
        <v>-153395.59637907415</v>
      </c>
      <c r="K24" s="373">
        <f>IFERROR(基础运算!K43,0)</f>
        <v>-155411.47113229014</v>
      </c>
      <c r="L24" s="373">
        <f>IFERROR(基础运算!L43,0)</f>
        <v>-109262.55359647496</v>
      </c>
      <c r="M24" s="373">
        <f>IFERROR(基础运算!M43,0)</f>
        <v>-63055.25809900905</v>
      </c>
      <c r="N24" s="373">
        <f>IFERROR(基础运算!N43,0)</f>
        <v>-35686.044559226859</v>
      </c>
      <c r="O24" s="373">
        <f>IFERROR(基础运算!O43,0)</f>
        <v>-22644.157863544067</v>
      </c>
      <c r="P24" s="373">
        <f>IFERROR(基础运算!P43,0)</f>
        <v>9044.3760330053337</v>
      </c>
      <c r="Q24" s="373">
        <f>IFERROR(基础运算!Q43,0)</f>
        <v>27895.36923621847</v>
      </c>
      <c r="R24" s="373">
        <f>IFERROR(基础运算!R43,0)</f>
        <v>37787.271393394913</v>
      </c>
      <c r="S24" s="373">
        <f>IFERROR(基础运算!S43,0)</f>
        <v>38209.09385210777</v>
      </c>
      <c r="T24" s="371">
        <f>IFERROR(基础运算!T43,0)</f>
        <v>44105.924755258835</v>
      </c>
    </row>
    <row r="25" spans="1:20" ht="18" customHeight="1">
      <c r="A25" s="374" t="s">
        <v>900</v>
      </c>
      <c r="B25" s="1241" t="s">
        <v>855</v>
      </c>
      <c r="C25" s="1241"/>
      <c r="D25" s="336">
        <f>IFERROR(基础运算!C71,0)</f>
        <v>14440.913426412544</v>
      </c>
      <c r="E25" s="378"/>
      <c r="F25" s="379"/>
      <c r="G25" s="379"/>
      <c r="H25" s="379"/>
      <c r="I25" s="407"/>
      <c r="J25" s="407"/>
      <c r="K25" s="407"/>
      <c r="L25" s="407"/>
      <c r="M25" s="407"/>
      <c r="N25" s="407"/>
      <c r="O25" s="407"/>
      <c r="P25" s="407"/>
      <c r="Q25" s="407"/>
      <c r="R25" s="407"/>
      <c r="S25" s="407"/>
      <c r="T25" s="416"/>
    </row>
    <row r="26" spans="1:20" ht="18" customHeight="1">
      <c r="A26" s="368" t="s">
        <v>901</v>
      </c>
      <c r="B26" s="1242" t="s">
        <v>856</v>
      </c>
      <c r="C26" s="1242"/>
      <c r="D26" s="338">
        <f>IFERROR(基础运算!C72,0)</f>
        <v>8.3816905809099618E-2</v>
      </c>
      <c r="E26" s="393"/>
      <c r="F26" s="394"/>
      <c r="G26" s="394"/>
      <c r="H26" s="394"/>
      <c r="I26" s="406"/>
      <c r="J26" s="406"/>
      <c r="K26" s="406"/>
      <c r="L26" s="406"/>
      <c r="M26" s="406"/>
      <c r="N26" s="406"/>
      <c r="O26" s="406"/>
      <c r="P26" s="406"/>
      <c r="Q26" s="406"/>
      <c r="R26" s="406"/>
      <c r="S26" s="406"/>
      <c r="T26" s="415"/>
    </row>
    <row r="27" spans="1:20" ht="18" customHeight="1">
      <c r="A27" s="374" t="s">
        <v>902</v>
      </c>
      <c r="B27" s="1241" t="s">
        <v>903</v>
      </c>
      <c r="C27" s="1241"/>
      <c r="D27" s="336">
        <f>IFERROR((D29+ABS(INDEX(E24:T24,1,D29))/(INDEX(E24:T24,1,D29+1)-INDEX(E24:T24,1,D29)))/4,0)</f>
        <v>2.9286463041921436</v>
      </c>
      <c r="E27" s="378"/>
      <c r="F27" s="379"/>
      <c r="G27" s="379"/>
      <c r="H27" s="379"/>
      <c r="I27" s="407"/>
      <c r="J27" s="407"/>
      <c r="K27" s="407"/>
      <c r="L27" s="407"/>
      <c r="M27" s="407"/>
      <c r="N27" s="407"/>
      <c r="O27" s="407"/>
      <c r="P27" s="407"/>
      <c r="Q27" s="407"/>
      <c r="R27" s="407"/>
      <c r="S27" s="407"/>
      <c r="T27" s="416"/>
    </row>
    <row r="28" spans="1:20" ht="18" customHeight="1">
      <c r="A28" s="368" t="s">
        <v>904</v>
      </c>
      <c r="B28" s="1242" t="s">
        <v>905</v>
      </c>
      <c r="C28" s="1242"/>
      <c r="D28" s="327">
        <f>IFERROR((D30+ABS(INDEX(E31:T31,1,D30))/(INDEX(E31:T31,1,D30+1)-INDEX(E31:T31,1,D30)))/4,0)</f>
        <v>3.3263447566992266</v>
      </c>
      <c r="E28" s="372"/>
      <c r="F28" s="373"/>
      <c r="G28" s="373"/>
      <c r="H28" s="373"/>
      <c r="I28" s="408"/>
      <c r="J28" s="408"/>
      <c r="K28" s="408"/>
      <c r="L28" s="408"/>
      <c r="M28" s="408"/>
      <c r="N28" s="408"/>
      <c r="O28" s="408"/>
      <c r="P28" s="408"/>
      <c r="Q28" s="408"/>
      <c r="R28" s="408"/>
      <c r="S28" s="408"/>
      <c r="T28" s="417"/>
    </row>
    <row r="29" spans="1:20" ht="18" customHeight="1">
      <c r="A29" s="374" t="s">
        <v>906</v>
      </c>
      <c r="B29" s="1243"/>
      <c r="C29" s="1244"/>
      <c r="D29" s="395">
        <f>IFERROR(MATCH(0,E24:T24,1),0)</f>
        <v>11</v>
      </c>
      <c r="E29" s="396">
        <f>IFERROR(COLUMN()-4,0)</f>
        <v>1</v>
      </c>
      <c r="F29" s="397">
        <f t="shared" ref="F29:T29" si="4">IFERROR(COLUMN()-4,0)</f>
        <v>2</v>
      </c>
      <c r="G29" s="397">
        <f t="shared" si="4"/>
        <v>3</v>
      </c>
      <c r="H29" s="397">
        <f t="shared" si="4"/>
        <v>4</v>
      </c>
      <c r="I29" s="397">
        <f t="shared" si="4"/>
        <v>5</v>
      </c>
      <c r="J29" s="397">
        <f t="shared" si="4"/>
        <v>6</v>
      </c>
      <c r="K29" s="397">
        <f t="shared" si="4"/>
        <v>7</v>
      </c>
      <c r="L29" s="397">
        <f t="shared" si="4"/>
        <v>8</v>
      </c>
      <c r="M29" s="397">
        <f t="shared" si="4"/>
        <v>9</v>
      </c>
      <c r="N29" s="397">
        <f t="shared" si="4"/>
        <v>10</v>
      </c>
      <c r="O29" s="397">
        <f t="shared" si="4"/>
        <v>11</v>
      </c>
      <c r="P29" s="397">
        <f t="shared" si="4"/>
        <v>12</v>
      </c>
      <c r="Q29" s="397">
        <f t="shared" si="4"/>
        <v>13</v>
      </c>
      <c r="R29" s="397">
        <f t="shared" si="4"/>
        <v>14</v>
      </c>
      <c r="S29" s="397">
        <f t="shared" si="4"/>
        <v>15</v>
      </c>
      <c r="T29" s="395">
        <f t="shared" si="4"/>
        <v>16</v>
      </c>
    </row>
    <row r="30" spans="1:20" ht="18" customHeight="1">
      <c r="A30" s="368" t="s">
        <v>907</v>
      </c>
      <c r="B30" s="1245" t="s">
        <v>908</v>
      </c>
      <c r="C30" s="1246"/>
      <c r="D30" s="398">
        <f>IFERROR(MATCH(0,E31:T31,1),0)</f>
        <v>13</v>
      </c>
      <c r="E30" s="399">
        <f>IFERROR(E23/(1+$D22/4)^E29,0)</f>
        <v>-136793.18264674619</v>
      </c>
      <c r="F30" s="400">
        <f t="shared" ref="F30:T30" si="5">IFERROR(F23/(1+$D22/4)^F29,0)</f>
        <v>-163255.59166199309</v>
      </c>
      <c r="G30" s="400">
        <f t="shared" si="5"/>
        <v>10375.75881516198</v>
      </c>
      <c r="H30" s="400">
        <f t="shared" si="5"/>
        <v>6980.350073932811</v>
      </c>
      <c r="I30" s="400">
        <f t="shared" si="5"/>
        <v>11705.059956070876</v>
      </c>
      <c r="J30" s="400">
        <f t="shared" si="5"/>
        <v>112279.63111061095</v>
      </c>
      <c r="K30" s="400">
        <f t="shared" si="5"/>
        <v>-1816.3571592586977</v>
      </c>
      <c r="L30" s="400">
        <f t="shared" si="5"/>
        <v>40966.907447917591</v>
      </c>
      <c r="M30" s="400">
        <f t="shared" si="5"/>
        <v>40412.542082620464</v>
      </c>
      <c r="N30" s="400">
        <f t="shared" si="5"/>
        <v>23583.154465237454</v>
      </c>
      <c r="O30" s="400">
        <f t="shared" si="5"/>
        <v>11071.691039904808</v>
      </c>
      <c r="P30" s="400">
        <f t="shared" si="5"/>
        <v>26503.89116937984</v>
      </c>
      <c r="Q30" s="400">
        <f t="shared" si="5"/>
        <v>15533.727690052296</v>
      </c>
      <c r="R30" s="400">
        <f t="shared" si="5"/>
        <v>8030.7336192407638</v>
      </c>
      <c r="S30" s="400">
        <f t="shared" si="5"/>
        <v>337.39532840623389</v>
      </c>
      <c r="T30" s="398">
        <f t="shared" si="5"/>
        <v>4646.8857853044992</v>
      </c>
    </row>
    <row r="31" spans="1:20" ht="18" customHeight="1">
      <c r="A31" s="401" t="s">
        <v>909</v>
      </c>
      <c r="B31" s="1248" t="s">
        <v>910</v>
      </c>
      <c r="C31" s="1249"/>
      <c r="D31" s="402"/>
      <c r="E31" s="403">
        <f>IFERROR(E30+D31,0)</f>
        <v>-136793.18264674619</v>
      </c>
      <c r="F31" s="404">
        <f t="shared" ref="F31:T31" si="6">IFERROR(F30+E31,0)</f>
        <v>-300048.77430873929</v>
      </c>
      <c r="G31" s="404">
        <f t="shared" si="6"/>
        <v>-289673.01549357729</v>
      </c>
      <c r="H31" s="404">
        <f t="shared" si="6"/>
        <v>-282692.6654196445</v>
      </c>
      <c r="I31" s="404">
        <f t="shared" si="6"/>
        <v>-270987.60546357365</v>
      </c>
      <c r="J31" s="404">
        <f t="shared" si="6"/>
        <v>-158707.97435296269</v>
      </c>
      <c r="K31" s="404">
        <f t="shared" si="6"/>
        <v>-160524.3315122214</v>
      </c>
      <c r="L31" s="404">
        <f t="shared" si="6"/>
        <v>-119557.42406430381</v>
      </c>
      <c r="M31" s="404">
        <f t="shared" si="6"/>
        <v>-79144.881981683342</v>
      </c>
      <c r="N31" s="404">
        <f t="shared" si="6"/>
        <v>-55561.727516445884</v>
      </c>
      <c r="O31" s="404">
        <f t="shared" si="6"/>
        <v>-44490.036476541078</v>
      </c>
      <c r="P31" s="404">
        <f t="shared" si="6"/>
        <v>-17986.145307161238</v>
      </c>
      <c r="Q31" s="404">
        <f t="shared" si="6"/>
        <v>-2452.4176171089421</v>
      </c>
      <c r="R31" s="404">
        <f t="shared" si="6"/>
        <v>5578.3160021318217</v>
      </c>
      <c r="S31" s="404">
        <f t="shared" si="6"/>
        <v>5915.7113305380553</v>
      </c>
      <c r="T31" s="402">
        <f t="shared" si="6"/>
        <v>10562.597115842555</v>
      </c>
    </row>
  </sheetData>
  <mergeCells count="19">
    <mergeCell ref="I3:L3"/>
    <mergeCell ref="M3:P3"/>
    <mergeCell ref="Q3:T3"/>
    <mergeCell ref="B21:C21"/>
    <mergeCell ref="B3:B4"/>
    <mergeCell ref="C3:C4"/>
    <mergeCell ref="D3:D4"/>
    <mergeCell ref="B31:C31"/>
    <mergeCell ref="B22:C22"/>
    <mergeCell ref="B23:C23"/>
    <mergeCell ref="B24:C24"/>
    <mergeCell ref="B25:C25"/>
    <mergeCell ref="B26:C26"/>
    <mergeCell ref="B1:H2"/>
    <mergeCell ref="B27:C27"/>
    <mergeCell ref="B28:C28"/>
    <mergeCell ref="B29:C29"/>
    <mergeCell ref="B30:C30"/>
    <mergeCell ref="E3:H3"/>
  </mergeCells>
  <phoneticPr fontId="43" type="noConversion"/>
  <pageMargins left="0.7" right="0.7" top="0.75" bottom="0.75" header="0.3" footer="0.3"/>
  <pageSetup paperSize="8"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6"/>
  <sheetViews>
    <sheetView showGridLines="0" topLeftCell="B1" workbookViewId="0">
      <pane xSplit="4" ySplit="4" topLeftCell="F11" activePane="bottomRight" state="frozen"/>
      <selection pane="topRight"/>
      <selection pane="bottomLeft"/>
      <selection pane="bottomRight" activeCell="H21" sqref="H21"/>
    </sheetView>
  </sheetViews>
  <sheetFormatPr defaultColWidth="8.75" defaultRowHeight="13.5"/>
  <cols>
    <col min="1" max="1" width="19.25" hidden="1" customWidth="1"/>
    <col min="2" max="2" width="7.5" style="74" customWidth="1"/>
    <col min="3" max="3" width="30.625" style="74" customWidth="1"/>
    <col min="4" max="4" width="18.625" style="74" customWidth="1"/>
    <col min="5" max="5" width="18.625" style="74" hidden="1" customWidth="1"/>
    <col min="6" max="9" width="16.625" style="287" customWidth="1"/>
    <col min="10" max="21" width="16.625" customWidth="1"/>
  </cols>
  <sheetData>
    <row r="1" spans="1:21" ht="28.15" customHeight="1">
      <c r="B1" s="1260" t="s">
        <v>911</v>
      </c>
      <c r="C1" s="1033"/>
      <c r="D1" s="288"/>
      <c r="E1" s="289"/>
      <c r="F1" s="290"/>
      <c r="G1" s="290"/>
      <c r="H1" s="290"/>
      <c r="I1" s="290"/>
    </row>
    <row r="2" spans="1:21" ht="28.15" customHeight="1">
      <c r="B2" s="1034"/>
      <c r="C2" s="1034"/>
      <c r="D2" s="291" t="s">
        <v>912</v>
      </c>
      <c r="E2" s="291"/>
      <c r="F2" s="292"/>
      <c r="G2" s="292"/>
      <c r="H2" s="292"/>
      <c r="I2" s="292"/>
    </row>
    <row r="3" spans="1:21" ht="18" customHeight="1">
      <c r="A3" s="128"/>
      <c r="B3" s="1266" t="s">
        <v>448</v>
      </c>
      <c r="C3" s="1266" t="s">
        <v>272</v>
      </c>
      <c r="D3" s="1268" t="s">
        <v>399</v>
      </c>
      <c r="E3" s="293"/>
      <c r="F3" s="1083" t="s">
        <v>180</v>
      </c>
      <c r="G3" s="1083"/>
      <c r="H3" s="1083"/>
      <c r="I3" s="1083"/>
      <c r="J3" s="1072" t="s">
        <v>181</v>
      </c>
      <c r="K3" s="1072"/>
      <c r="L3" s="1072"/>
      <c r="M3" s="1072"/>
      <c r="N3" s="1072" t="s">
        <v>182</v>
      </c>
      <c r="O3" s="1072"/>
      <c r="P3" s="1072"/>
      <c r="Q3" s="1072"/>
      <c r="R3" s="1072" t="s">
        <v>183</v>
      </c>
      <c r="S3" s="1072"/>
      <c r="T3" s="1072"/>
      <c r="U3" s="1073"/>
    </row>
    <row r="4" spans="1:21" ht="18" customHeight="1">
      <c r="A4" s="129"/>
      <c r="B4" s="1267"/>
      <c r="C4" s="1267"/>
      <c r="D4" s="1269"/>
      <c r="E4" s="294"/>
      <c r="F4" s="295" t="s">
        <v>184</v>
      </c>
      <c r="G4" s="295" t="s">
        <v>185</v>
      </c>
      <c r="H4" s="295" t="s">
        <v>186</v>
      </c>
      <c r="I4" s="295" t="s">
        <v>187</v>
      </c>
      <c r="J4" s="349" t="s">
        <v>184</v>
      </c>
      <c r="K4" s="349" t="s">
        <v>185</v>
      </c>
      <c r="L4" s="349" t="s">
        <v>186</v>
      </c>
      <c r="M4" s="349" t="s">
        <v>187</v>
      </c>
      <c r="N4" s="349" t="s">
        <v>184</v>
      </c>
      <c r="O4" s="349" t="s">
        <v>185</v>
      </c>
      <c r="P4" s="349" t="s">
        <v>186</v>
      </c>
      <c r="Q4" s="349" t="s">
        <v>187</v>
      </c>
      <c r="R4" s="349" t="s">
        <v>184</v>
      </c>
      <c r="S4" s="349" t="s">
        <v>185</v>
      </c>
      <c r="T4" s="349" t="s">
        <v>186</v>
      </c>
      <c r="U4" s="354" t="s">
        <v>187</v>
      </c>
    </row>
    <row r="5" spans="1:21" ht="18" customHeight="1">
      <c r="A5" s="128" t="s">
        <v>913</v>
      </c>
      <c r="B5" s="296">
        <v>1</v>
      </c>
      <c r="C5" s="296" t="s">
        <v>914</v>
      </c>
      <c r="D5" s="297">
        <f>IFERROR(基础运算!C21,0)</f>
        <v>444402.33724474127</v>
      </c>
      <c r="E5" s="298"/>
      <c r="F5" s="299">
        <f>IFERROR(基础运算!E21,0)</f>
        <v>138845.08038644737</v>
      </c>
      <c r="G5" s="299">
        <f>IFERROR(基础运算!F21,0)</f>
        <v>168189.9919199768</v>
      </c>
      <c r="H5" s="299">
        <f>IFERROR(基础运算!G21,0)</f>
        <v>12555.175558769502</v>
      </c>
      <c r="I5" s="299">
        <f>IFERROR(基础运算!H21,0)</f>
        <v>12095.379340925199</v>
      </c>
      <c r="J5" s="299">
        <f>IFERROR(基础运算!I21,0)</f>
        <v>12745.61516881731</v>
      </c>
      <c r="K5" s="299">
        <f>IFERROR(基础运算!J21,0)</f>
        <v>25441.051904138018</v>
      </c>
      <c r="L5" s="299">
        <f>IFERROR(基础运算!K21,0)</f>
        <v>15123.50392921598</v>
      </c>
      <c r="M5" s="299">
        <f>IFERROR(基础运算!L21,0)</f>
        <v>11083.876670184818</v>
      </c>
      <c r="N5" s="299">
        <f>IFERROR(基础运算!M21,0)</f>
        <v>16606.3745625341</v>
      </c>
      <c r="O5" s="299">
        <f>IFERROR(基础运算!N21,0)</f>
        <v>11434.60842021781</v>
      </c>
      <c r="P5" s="299">
        <f>IFERROR(基础运算!O21,0)</f>
        <v>12682.156404317213</v>
      </c>
      <c r="Q5" s="299">
        <f>IFERROR(基础运算!P21,0)</f>
        <v>10746.122098450598</v>
      </c>
      <c r="R5" s="299">
        <f>IFERROR(基础运算!Q21,0)</f>
        <v>1131.6271597868631</v>
      </c>
      <c r="S5" s="299">
        <f>IFERROR(基础运算!R21,0)</f>
        <v>876.23208282356052</v>
      </c>
      <c r="T5" s="299">
        <f>IFERROR(基础运算!S21,0)</f>
        <v>354.30754128714545</v>
      </c>
      <c r="U5" s="299">
        <f>IFERROR(基础运算!T21,0)</f>
        <v>-5508.765903151063</v>
      </c>
    </row>
    <row r="6" spans="1:21" ht="18" customHeight="1">
      <c r="A6" s="141" t="s">
        <v>915</v>
      </c>
      <c r="B6" s="300">
        <v>1.1000000000000001</v>
      </c>
      <c r="C6" s="300" t="s">
        <v>916</v>
      </c>
      <c r="D6" s="301">
        <f>IFERROR(基础运算!C5,0)</f>
        <v>288498.24436494999</v>
      </c>
      <c r="E6" s="302"/>
      <c r="F6" s="303">
        <f>IFERROR(基础运算!E5,0)</f>
        <v>135000</v>
      </c>
      <c r="G6" s="303">
        <f>IFERROR(基础运算!F5,0)</f>
        <v>153498.24436494999</v>
      </c>
      <c r="H6" s="303">
        <f>IFERROR(基础运算!G5,0)</f>
        <v>0</v>
      </c>
      <c r="I6" s="303">
        <f>IFERROR(基础运算!H5,0)</f>
        <v>0</v>
      </c>
      <c r="J6" s="303">
        <f>IFERROR(基础运算!I5,0)</f>
        <v>0</v>
      </c>
      <c r="K6" s="303">
        <f>IFERROR(基础运算!J5,0)</f>
        <v>0</v>
      </c>
      <c r="L6" s="303">
        <f>IFERROR(基础运算!K5,0)</f>
        <v>0</v>
      </c>
      <c r="M6" s="303">
        <f>IFERROR(基础运算!L5,0)</f>
        <v>0</v>
      </c>
      <c r="N6" s="303">
        <f>IFERROR(基础运算!M5,0)</f>
        <v>0</v>
      </c>
      <c r="O6" s="303">
        <f>IFERROR(基础运算!N5,0)</f>
        <v>0</v>
      </c>
      <c r="P6" s="303">
        <f>IFERROR(基础运算!O5,0)</f>
        <v>0</v>
      </c>
      <c r="Q6" s="303">
        <f>IFERROR(基础运算!P5,0)</f>
        <v>0</v>
      </c>
      <c r="R6" s="303">
        <f>IFERROR(基础运算!Q5,0)</f>
        <v>0</v>
      </c>
      <c r="S6" s="303">
        <f>IFERROR(基础运算!R5,0)</f>
        <v>0</v>
      </c>
      <c r="T6" s="303">
        <f>IFERROR(基础运算!S5,0)</f>
        <v>0</v>
      </c>
      <c r="U6" s="303">
        <f>IFERROR(基础运算!T5,0)</f>
        <v>0</v>
      </c>
    </row>
    <row r="7" spans="1:21" ht="18" customHeight="1">
      <c r="A7" s="136" t="s">
        <v>917</v>
      </c>
      <c r="B7" s="304">
        <v>1.2</v>
      </c>
      <c r="C7" s="305" t="s">
        <v>497</v>
      </c>
      <c r="D7" s="306">
        <f>IFERROR(基础运算!C6,0)</f>
        <v>5471.5204637200013</v>
      </c>
      <c r="E7" s="307"/>
      <c r="F7" s="308">
        <f>IFERROR(基础运算!E6,0)</f>
        <v>3009.3362550460006</v>
      </c>
      <c r="G7" s="308">
        <f>IFERROR(基础运算!F6,0)</f>
        <v>2462.1842086740007</v>
      </c>
      <c r="H7" s="308">
        <f>IFERROR(基础运算!G6,0)</f>
        <v>0</v>
      </c>
      <c r="I7" s="308">
        <f>IFERROR(基础运算!H6,0)</f>
        <v>0</v>
      </c>
      <c r="J7" s="308">
        <f>IFERROR(基础运算!I6,0)</f>
        <v>0</v>
      </c>
      <c r="K7" s="308">
        <f>IFERROR(基础运算!J6,0)</f>
        <v>0</v>
      </c>
      <c r="L7" s="308">
        <f>IFERROR(基础运算!K6,0)</f>
        <v>0</v>
      </c>
      <c r="M7" s="308">
        <f>IFERROR(基础运算!L6,0)</f>
        <v>0</v>
      </c>
      <c r="N7" s="308">
        <f>IFERROR(基础运算!M6,0)</f>
        <v>0</v>
      </c>
      <c r="O7" s="308">
        <f>IFERROR(基础运算!N6,0)</f>
        <v>0</v>
      </c>
      <c r="P7" s="308">
        <f>IFERROR(基础运算!O6,0)</f>
        <v>0</v>
      </c>
      <c r="Q7" s="308">
        <f>IFERROR(基础运算!P6,0)</f>
        <v>0</v>
      </c>
      <c r="R7" s="308">
        <f>IFERROR(基础运算!Q6,0)</f>
        <v>0</v>
      </c>
      <c r="S7" s="308">
        <f>IFERROR(基础运算!R6,0)</f>
        <v>0</v>
      </c>
      <c r="T7" s="308">
        <f>IFERROR(基础运算!S6,0)</f>
        <v>0</v>
      </c>
      <c r="U7" s="308">
        <f>IFERROR(基础运算!T6,0)</f>
        <v>0</v>
      </c>
    </row>
    <row r="8" spans="1:21" ht="18" customHeight="1">
      <c r="A8" s="141" t="s">
        <v>918</v>
      </c>
      <c r="B8" s="300">
        <v>1.3</v>
      </c>
      <c r="C8" s="309" t="s">
        <v>878</v>
      </c>
      <c r="D8" s="301">
        <f>IFERROR(基础运算!C7,0)</f>
        <v>91395.502728569103</v>
      </c>
      <c r="E8" s="302"/>
      <c r="F8" s="303">
        <f>IFERROR(基础运算!E7,0)</f>
        <v>0</v>
      </c>
      <c r="G8" s="303">
        <f>IFERROR(基础运算!F7,0)</f>
        <v>7838.0083620992527</v>
      </c>
      <c r="H8" s="303">
        <f>IFERROR(基础运算!G7,0)</f>
        <v>7838.0083620992527</v>
      </c>
      <c r="I8" s="303">
        <f>IFERROR(基础运算!H7,0)</f>
        <v>7838.0083620992527</v>
      </c>
      <c r="J8" s="303">
        <f>IFERROR(基础运算!I7,0)</f>
        <v>7838.0083620992527</v>
      </c>
      <c r="K8" s="303">
        <f>IFERROR(基础运算!J7,0)</f>
        <v>7838.0083620992527</v>
      </c>
      <c r="L8" s="303">
        <f>IFERROR(基础运算!K7,0)</f>
        <v>7838.0083620992527</v>
      </c>
      <c r="M8" s="303">
        <f>IFERROR(基础运算!L7,0)</f>
        <v>7838.0083620992527</v>
      </c>
      <c r="N8" s="303">
        <f>IFERROR(基础运算!M7,0)</f>
        <v>7838.0083620992527</v>
      </c>
      <c r="O8" s="303">
        <f>IFERROR(基础运算!N7,0)</f>
        <v>7838.0083620992527</v>
      </c>
      <c r="P8" s="303">
        <f>IFERROR(基础运算!O7,0)</f>
        <v>7772.9397869728909</v>
      </c>
      <c r="Q8" s="303">
        <f>IFERROR(基础运算!P7,0)</f>
        <v>8549.542691500892</v>
      </c>
      <c r="R8" s="303">
        <f>IFERROR(基础运算!Q7,0)</f>
        <v>0</v>
      </c>
      <c r="S8" s="303">
        <f>IFERROR(基础运算!R7,0)</f>
        <v>0</v>
      </c>
      <c r="T8" s="303">
        <f>IFERROR(基础运算!S7,0)</f>
        <v>0</v>
      </c>
      <c r="U8" s="303">
        <f>IFERROR(基础运算!T7,0)</f>
        <v>4530.9449912020564</v>
      </c>
    </row>
    <row r="9" spans="1:21" ht="18" customHeight="1">
      <c r="A9" s="136" t="s">
        <v>919</v>
      </c>
      <c r="B9" s="304">
        <v>1.4</v>
      </c>
      <c r="C9" s="305" t="s">
        <v>549</v>
      </c>
      <c r="D9" s="306">
        <f>IFERROR(基础运算!C8,0)</f>
        <v>13659.551743440003</v>
      </c>
      <c r="E9" s="307"/>
      <c r="F9" s="308">
        <f>IFERROR(基础运算!E8,0)</f>
        <v>0</v>
      </c>
      <c r="G9" s="308">
        <f>IFERROR(基础运算!F8,0)</f>
        <v>1179.6885596607274</v>
      </c>
      <c r="H9" s="308">
        <f>IFERROR(基础运算!G8,0)</f>
        <v>1179.6885596607274</v>
      </c>
      <c r="I9" s="308">
        <f>IFERROR(基础运算!H8,0)</f>
        <v>1179.6885596607274</v>
      </c>
      <c r="J9" s="308">
        <f>IFERROR(基础运算!I8,0)</f>
        <v>1179.6885596607274</v>
      </c>
      <c r="K9" s="308">
        <f>IFERROR(基础运算!J8,0)</f>
        <v>1179.6885596607274</v>
      </c>
      <c r="L9" s="308">
        <f>IFERROR(基础运算!K8,0)</f>
        <v>1179.6885596607274</v>
      </c>
      <c r="M9" s="308">
        <f>IFERROR(基础运算!L8,0)</f>
        <v>1179.6885596607274</v>
      </c>
      <c r="N9" s="308">
        <f>IFERROR(基础运算!M8,0)</f>
        <v>1179.6885596607274</v>
      </c>
      <c r="O9" s="308">
        <f>IFERROR(基础运算!N8,0)</f>
        <v>1179.6885596607274</v>
      </c>
      <c r="P9" s="308">
        <f>IFERROR(基础运算!O8,0)</f>
        <v>1179.6885596607274</v>
      </c>
      <c r="Q9" s="308">
        <f>IFERROR(基础运算!P8,0)</f>
        <v>1179.6885596607274</v>
      </c>
      <c r="R9" s="308">
        <f>IFERROR(基础运算!Q8,0)</f>
        <v>0</v>
      </c>
      <c r="S9" s="308">
        <f>IFERROR(基础运算!R8,0)</f>
        <v>0</v>
      </c>
      <c r="T9" s="308">
        <f>IFERROR(基础运算!S8,0)</f>
        <v>0</v>
      </c>
      <c r="U9" s="308">
        <f>IFERROR(基础运算!T8,0)</f>
        <v>682.97758717200009</v>
      </c>
    </row>
    <row r="10" spans="1:21" ht="18" customHeight="1">
      <c r="A10" s="141" t="s">
        <v>920</v>
      </c>
      <c r="B10" s="300">
        <v>1.5</v>
      </c>
      <c r="C10" s="309" t="s">
        <v>560</v>
      </c>
      <c r="D10" s="301">
        <f>IFERROR(基础运算!C9,0)</f>
        <v>6033.9746202000024</v>
      </c>
      <c r="E10" s="302"/>
      <c r="F10" s="303">
        <f>IFERROR(基础运算!E9,0)</f>
        <v>0</v>
      </c>
      <c r="G10" s="303">
        <f>IFERROR(基础运算!F9,0)</f>
        <v>521.1159899263638</v>
      </c>
      <c r="H10" s="303">
        <f>IFERROR(基础运算!G9,0)</f>
        <v>521.1159899263638</v>
      </c>
      <c r="I10" s="303">
        <f>IFERROR(基础运算!H9,0)</f>
        <v>521.1159899263638</v>
      </c>
      <c r="J10" s="303">
        <f>IFERROR(基础运算!I9,0)</f>
        <v>521.1159899263638</v>
      </c>
      <c r="K10" s="303">
        <f>IFERROR(基础运算!J9,0)</f>
        <v>521.1159899263638</v>
      </c>
      <c r="L10" s="303">
        <f>IFERROR(基础运算!K9,0)</f>
        <v>521.1159899263638</v>
      </c>
      <c r="M10" s="303">
        <f>IFERROR(基础运算!L9,0)</f>
        <v>521.1159899263638</v>
      </c>
      <c r="N10" s="303">
        <f>IFERROR(基础运算!M9,0)</f>
        <v>521.1159899263638</v>
      </c>
      <c r="O10" s="303">
        <f>IFERROR(基础运算!N9,0)</f>
        <v>521.1159899263638</v>
      </c>
      <c r="P10" s="303">
        <f>IFERROR(基础运算!O9,0)</f>
        <v>521.1159899263638</v>
      </c>
      <c r="Q10" s="303">
        <f>IFERROR(基础运算!P9,0)</f>
        <v>521.1159899263638</v>
      </c>
      <c r="R10" s="303">
        <f>IFERROR(基础运算!Q9,0)</f>
        <v>0</v>
      </c>
      <c r="S10" s="303">
        <f>IFERROR(基础运算!R9,0)</f>
        <v>0</v>
      </c>
      <c r="T10" s="303">
        <f>IFERROR(基础运算!S9,0)</f>
        <v>0</v>
      </c>
      <c r="U10" s="303">
        <f>IFERROR(基础运算!T9,0)</f>
        <v>301.69873101000007</v>
      </c>
    </row>
    <row r="11" spans="1:21" ht="18" customHeight="1">
      <c r="A11" s="136" t="s">
        <v>921</v>
      </c>
      <c r="B11" s="304">
        <v>1.6</v>
      </c>
      <c r="C11" s="305" t="s">
        <v>584</v>
      </c>
      <c r="D11" s="306">
        <f>IFERROR(基础运算!C10,0)</f>
        <v>3496.8164866778739</v>
      </c>
      <c r="E11" s="307"/>
      <c r="F11" s="308">
        <f>IFERROR(基础运算!E10,0)</f>
        <v>90.280087651380015</v>
      </c>
      <c r="G11" s="308">
        <f>IFERROR(基础运算!F10,0)</f>
        <v>360.02991361081035</v>
      </c>
      <c r="H11" s="308">
        <f>IFERROR(基础运算!G10,0)</f>
        <v>286.16438735059029</v>
      </c>
      <c r="I11" s="308">
        <f>IFERROR(基础运算!H10,0)</f>
        <v>286.16438735059029</v>
      </c>
      <c r="J11" s="308">
        <f>IFERROR(基础运算!I10,0)</f>
        <v>286.16438735059029</v>
      </c>
      <c r="K11" s="308">
        <f>IFERROR(基础运算!J10,0)</f>
        <v>286.16438735059029</v>
      </c>
      <c r="L11" s="308">
        <f>IFERROR(基础运算!K10,0)</f>
        <v>286.16438735059029</v>
      </c>
      <c r="M11" s="308">
        <f>IFERROR(基础运算!L10,0)</f>
        <v>286.16438735059029</v>
      </c>
      <c r="N11" s="308">
        <f>IFERROR(基础运算!M10,0)</f>
        <v>286.16438735059029</v>
      </c>
      <c r="O11" s="308">
        <f>IFERROR(基础运算!N10,0)</f>
        <v>286.16438735059029</v>
      </c>
      <c r="P11" s="308">
        <f>IFERROR(基础运算!O10,0)</f>
        <v>284.21233009679946</v>
      </c>
      <c r="Q11" s="308">
        <f>IFERROR(基础运算!P10,0)</f>
        <v>307.5104172326395</v>
      </c>
      <c r="R11" s="308">
        <f>IFERROR(基础运算!Q10,0)</f>
        <v>0</v>
      </c>
      <c r="S11" s="308">
        <f>IFERROR(基础运算!R10,0)</f>
        <v>0</v>
      </c>
      <c r="T11" s="308">
        <f>IFERROR(基础运算!S10,0)</f>
        <v>0</v>
      </c>
      <c r="U11" s="308">
        <f>IFERROR(基础运算!T10,0)</f>
        <v>165.46863928152169</v>
      </c>
    </row>
    <row r="12" spans="1:21" ht="18" customHeight="1">
      <c r="A12" s="141" t="s">
        <v>922</v>
      </c>
      <c r="B12" s="300">
        <v>1.7</v>
      </c>
      <c r="C12" s="309" t="s">
        <v>594</v>
      </c>
      <c r="D12" s="301">
        <f>IFERROR(基础运算!C14,0)</f>
        <v>4885.0826200000001</v>
      </c>
      <c r="E12" s="302"/>
      <c r="F12" s="303">
        <f>IFERROR(基础运算!E14,0)</f>
        <v>305.31766375000001</v>
      </c>
      <c r="G12" s="303">
        <f>IFERROR(基础运算!F14,0)</f>
        <v>305.31766375000001</v>
      </c>
      <c r="H12" s="303">
        <f>IFERROR(基础运算!G14,0)</f>
        <v>305.31766375000001</v>
      </c>
      <c r="I12" s="303">
        <f>IFERROR(基础运算!H14,0)</f>
        <v>305.31766375000001</v>
      </c>
      <c r="J12" s="303">
        <f>IFERROR(基础运算!I14,0)</f>
        <v>305.31766375000001</v>
      </c>
      <c r="K12" s="303">
        <f>IFERROR(基础运算!J14,0)</f>
        <v>305.31766375000001</v>
      </c>
      <c r="L12" s="303">
        <f>IFERROR(基础运算!K14,0)</f>
        <v>305.31766375000001</v>
      </c>
      <c r="M12" s="303">
        <f>IFERROR(基础运算!L14,0)</f>
        <v>305.31766375000001</v>
      </c>
      <c r="N12" s="303">
        <f>IFERROR(基础运算!M14,0)</f>
        <v>305.31766375000001</v>
      </c>
      <c r="O12" s="303">
        <f>IFERROR(基础运算!N14,0)</f>
        <v>305.31766375000001</v>
      </c>
      <c r="P12" s="303">
        <f>IFERROR(基础运算!O14,0)</f>
        <v>305.31766375000001</v>
      </c>
      <c r="Q12" s="303">
        <f>IFERROR(基础运算!P14,0)</f>
        <v>305.31766375000001</v>
      </c>
      <c r="R12" s="303">
        <f>IFERROR(基础运算!Q14,0)</f>
        <v>305.31766375000001</v>
      </c>
      <c r="S12" s="303">
        <f>IFERROR(基础运算!R14,0)</f>
        <v>305.31766375000001</v>
      </c>
      <c r="T12" s="303">
        <f>IFERROR(基础运算!S14,0)</f>
        <v>305.31766375000001</v>
      </c>
      <c r="U12" s="303">
        <f>IFERROR(基础运算!T14,0)</f>
        <v>305.31766375000001</v>
      </c>
    </row>
    <row r="13" spans="1:21" ht="18" customHeight="1">
      <c r="A13" s="136" t="s">
        <v>923</v>
      </c>
      <c r="B13" s="304">
        <v>1.8</v>
      </c>
      <c r="C13" s="305" t="s">
        <v>598</v>
      </c>
      <c r="D13" s="306">
        <f>IFERROR(基础运算!C16,0)</f>
        <v>13235.690026</v>
      </c>
      <c r="E13" s="307"/>
      <c r="F13" s="308">
        <f>IFERROR(基础运算!E16,0)</f>
        <v>0</v>
      </c>
      <c r="G13" s="308">
        <f>IFERROR(基础运算!F16,0)</f>
        <v>2000</v>
      </c>
      <c r="H13" s="308">
        <f>IFERROR(基础运算!G16,0)</f>
        <v>538.31229004800002</v>
      </c>
      <c r="I13" s="308">
        <f>IFERROR(基础运算!H16,0)</f>
        <v>448.59357504000008</v>
      </c>
      <c r="J13" s="308">
        <f>IFERROR(基础运算!I16,0)</f>
        <v>583.17164755200008</v>
      </c>
      <c r="K13" s="308">
        <f>IFERROR(基础运算!J16,0)</f>
        <v>3408.8865390600008</v>
      </c>
      <c r="L13" s="308">
        <f>IFERROR(基础运算!K16,0)</f>
        <v>1113.3785076000001</v>
      </c>
      <c r="M13" s="308">
        <f>IFERROR(基础运算!L16,0)</f>
        <v>1113.3785076000001</v>
      </c>
      <c r="N13" s="308">
        <f>IFERROR(基础运算!M16,0)</f>
        <v>1444.71441138</v>
      </c>
      <c r="O13" s="308">
        <f>IFERROR(基础运算!N16,0)</f>
        <v>892.48790508000002</v>
      </c>
      <c r="P13" s="308">
        <f>IFERROR(基础运算!O16,0)</f>
        <v>591.65299130000005</v>
      </c>
      <c r="Q13" s="308">
        <f>IFERROR(基础运算!P16,0)</f>
        <v>468.55769004000007</v>
      </c>
      <c r="R13" s="308">
        <f>IFERROR(基础运算!Q16,0)</f>
        <v>358.11238878</v>
      </c>
      <c r="S13" s="308">
        <f>IFERROR(基础运算!R16,0)</f>
        <v>247.66708752000002</v>
      </c>
      <c r="T13" s="308">
        <f>IFERROR(基础运算!S16,0)</f>
        <v>17.850990000000003</v>
      </c>
      <c r="U13" s="308">
        <f>IFERROR(基础运算!T16,0)</f>
        <v>8.9254950000000015</v>
      </c>
    </row>
    <row r="14" spans="1:21" ht="18" customHeight="1">
      <c r="A14" s="141" t="s">
        <v>924</v>
      </c>
      <c r="B14" s="300">
        <v>1.9</v>
      </c>
      <c r="C14" s="309" t="s">
        <v>925</v>
      </c>
      <c r="D14" s="301">
        <f>IFERROR(D15+D16+D17,0)</f>
        <v>14797.120396307306</v>
      </c>
      <c r="E14" s="302"/>
      <c r="F14" s="303">
        <f>IFERROR(F15+F16+F17,0)</f>
        <v>0</v>
      </c>
      <c r="G14" s="303">
        <f t="shared" ref="G14:U14" si="0">IFERROR(G15+G16+G17,0)</f>
        <v>0</v>
      </c>
      <c r="H14" s="303">
        <f t="shared" si="0"/>
        <v>1787.4002651288999</v>
      </c>
      <c r="I14" s="303">
        <f t="shared" si="0"/>
        <v>1491.0879457925973</v>
      </c>
      <c r="J14" s="303">
        <f t="shared" si="0"/>
        <v>1948.7092577551653</v>
      </c>
      <c r="K14" s="303">
        <f t="shared" si="0"/>
        <v>11876.467544985418</v>
      </c>
      <c r="L14" s="303">
        <f t="shared" si="0"/>
        <v>3812.9299618822133</v>
      </c>
      <c r="M14" s="303">
        <f t="shared" si="0"/>
        <v>-185.1996575077842</v>
      </c>
      <c r="N14" s="303">
        <f t="shared" si="0"/>
        <v>4978.9537879665404</v>
      </c>
      <c r="O14" s="303">
        <f t="shared" si="0"/>
        <v>386.42269504520618</v>
      </c>
      <c r="P14" s="303">
        <f t="shared" si="0"/>
        <v>1990.0217214870431</v>
      </c>
      <c r="Q14" s="303">
        <f t="shared" si="0"/>
        <v>-593.75271802669101</v>
      </c>
      <c r="R14" s="303">
        <f t="shared" si="0"/>
        <v>455.62450056900383</v>
      </c>
      <c r="S14" s="303">
        <f t="shared" si="0"/>
        <v>315.10552718689382</v>
      </c>
      <c r="T14" s="303">
        <f t="shared" si="0"/>
        <v>22.711720281782441</v>
      </c>
      <c r="U14" s="303">
        <f t="shared" si="0"/>
        <v>-11512.24081493331</v>
      </c>
    </row>
    <row r="15" spans="1:21" ht="18" customHeight="1">
      <c r="A15" s="136" t="s">
        <v>926</v>
      </c>
      <c r="B15" s="310" t="s">
        <v>927</v>
      </c>
      <c r="C15" s="305" t="s">
        <v>605</v>
      </c>
      <c r="D15" s="306">
        <f>IFERROR(基础运算!C17,0)</f>
        <v>8152.688364119138</v>
      </c>
      <c r="E15" s="307"/>
      <c r="F15" s="308">
        <f>IFERROR(基础运算!E17,0)</f>
        <v>0</v>
      </c>
      <c r="G15" s="308">
        <f>IFERROR(基础运算!F17,0)</f>
        <v>0</v>
      </c>
      <c r="H15" s="308">
        <f>IFERROR(基础运算!G17,0)</f>
        <v>721.47159735192668</v>
      </c>
      <c r="I15" s="308">
        <f>IFERROR(基础运算!H17,0)</f>
        <v>601.2263311266056</v>
      </c>
      <c r="J15" s="308">
        <f>IFERROR(基础运算!I17,0)</f>
        <v>781.5942304645871</v>
      </c>
      <c r="K15" s="308">
        <f>IFERROR(基础运算!J17,0)</f>
        <v>4568.7510056807341</v>
      </c>
      <c r="L15" s="308">
        <f>IFERROR(基础运算!K17,0)</f>
        <v>1492.2025470825686</v>
      </c>
      <c r="M15" s="308">
        <f>IFERROR(基础运算!L17,0)</f>
        <v>-2516.3014822177206</v>
      </c>
      <c r="N15" s="308">
        <f>IFERROR(基础运算!M17,0)</f>
        <v>1936.2746000146785</v>
      </c>
      <c r="O15" s="308">
        <f>IFERROR(基础运算!N17,0)</f>
        <v>-1465.7927969876202</v>
      </c>
      <c r="P15" s="308">
        <f>IFERROR(基础运算!O17,0)</f>
        <v>792.961328587156</v>
      </c>
      <c r="Q15" s="308">
        <f>IFERROR(基础运算!P17,0)</f>
        <v>-1531.2113911166527</v>
      </c>
      <c r="R15" s="308">
        <f>IFERROR(基础运算!Q17,0)</f>
        <v>0</v>
      </c>
      <c r="S15" s="308">
        <f>IFERROR(基础运算!R17,0)</f>
        <v>0</v>
      </c>
      <c r="T15" s="308">
        <f>IFERROR(基础运算!S17,0)</f>
        <v>0</v>
      </c>
      <c r="U15" s="308">
        <f>IFERROR(基础运算!T17,0)</f>
        <v>2771.5123941328752</v>
      </c>
    </row>
    <row r="16" spans="1:21" ht="18" customHeight="1">
      <c r="A16" s="141" t="s">
        <v>928</v>
      </c>
      <c r="B16" s="300" t="s">
        <v>929</v>
      </c>
      <c r="C16" s="309" t="s">
        <v>625</v>
      </c>
      <c r="D16" s="301">
        <f>IFERROR(基础运算!C19,0)</f>
        <v>0</v>
      </c>
      <c r="E16" s="302"/>
      <c r="F16" s="303">
        <f>IFERROR(基础运算!E19,0)</f>
        <v>0</v>
      </c>
      <c r="G16" s="303">
        <f>IFERROR(基础运算!F19,0)</f>
        <v>0</v>
      </c>
      <c r="H16" s="303">
        <f>IFERROR(基础运算!G19,0)</f>
        <v>684.89188307292272</v>
      </c>
      <c r="I16" s="303">
        <f>IFERROR(基础运算!H19,0)</f>
        <v>570.74323589410233</v>
      </c>
      <c r="J16" s="303">
        <f>IFERROR(基础运算!I19,0)</f>
        <v>741.96620666233298</v>
      </c>
      <c r="K16" s="303">
        <f>IFERROR(基础运算!J19,0)</f>
        <v>4337.1083367064866</v>
      </c>
      <c r="L16" s="303">
        <f>IFERROR(基础运算!K19,0)</f>
        <v>1416.5455939619922</v>
      </c>
      <c r="M16" s="303">
        <f>IFERROR(基础运算!L19,0)</f>
        <v>1416.5455939619922</v>
      </c>
      <c r="N16" s="303">
        <f>IFERROR(基础运算!M19,0)</f>
        <v>1838.1025141083226</v>
      </c>
      <c r="O16" s="303">
        <f>IFERROR(基础运算!N19,0)</f>
        <v>1135.507647197772</v>
      </c>
      <c r="P16" s="303">
        <f>IFERROR(基础运算!O19,0)</f>
        <v>752.756975511468</v>
      </c>
      <c r="Q16" s="303">
        <f>IFERROR(基础运算!P19,0)</f>
        <v>596.14347395111406</v>
      </c>
      <c r="R16" s="303">
        <f>IFERROR(基础运算!Q19,0)</f>
        <v>455.62450056900383</v>
      </c>
      <c r="S16" s="303">
        <f>IFERROR(基础运算!R19,0)</f>
        <v>315.10552718689382</v>
      </c>
      <c r="T16" s="303">
        <f>IFERROR(基础运算!S19,0)</f>
        <v>22.711720281782441</v>
      </c>
      <c r="U16" s="303">
        <f>IFERROR(基础运算!T19,0)</f>
        <v>-14283.753209066184</v>
      </c>
    </row>
    <row r="17" spans="1:21" ht="18" customHeight="1">
      <c r="A17" s="136" t="s">
        <v>930</v>
      </c>
      <c r="B17" s="304" t="s">
        <v>931</v>
      </c>
      <c r="C17" s="305" t="s">
        <v>633</v>
      </c>
      <c r="D17" s="306">
        <f>IFERROR(基础运算!C20,0)</f>
        <v>6644.4320321881678</v>
      </c>
      <c r="E17" s="307"/>
      <c r="F17" s="308">
        <f>IFERROR(基础运算!E20,0)</f>
        <v>0</v>
      </c>
      <c r="G17" s="308">
        <f>IFERROR(基础运算!F20,0)</f>
        <v>0</v>
      </c>
      <c r="H17" s="308">
        <f>IFERROR(基础运算!G20,0)</f>
        <v>381.03678470405043</v>
      </c>
      <c r="I17" s="308">
        <f>IFERROR(基础运算!H20,0)</f>
        <v>319.11837877188941</v>
      </c>
      <c r="J17" s="308">
        <f>IFERROR(基础运算!I20,0)</f>
        <v>425.14882062824512</v>
      </c>
      <c r="K17" s="308">
        <f>IFERROR(基础运算!J20,0)</f>
        <v>2970.6082025981968</v>
      </c>
      <c r="L17" s="308">
        <f>IFERROR(基础运算!K20,0)</f>
        <v>904.18182083765237</v>
      </c>
      <c r="M17" s="308">
        <f>IFERROR(基础运算!L20,0)</f>
        <v>914.55623074794426</v>
      </c>
      <c r="N17" s="308">
        <f>IFERROR(基础运算!M20,0)</f>
        <v>1204.57667384354</v>
      </c>
      <c r="O17" s="308">
        <f>IFERROR(基础运算!N20,0)</f>
        <v>716.7078448350544</v>
      </c>
      <c r="P17" s="308">
        <f>IFERROR(基础运算!O20,0)</f>
        <v>444.30341738841906</v>
      </c>
      <c r="Q17" s="308">
        <f>IFERROR(基础运算!P20,0)</f>
        <v>341.31519913884767</v>
      </c>
      <c r="R17" s="308">
        <f>IFERROR(基础运算!Q20,0)</f>
        <v>0</v>
      </c>
      <c r="S17" s="308">
        <f>IFERROR(基础运算!R20,0)</f>
        <v>0</v>
      </c>
      <c r="T17" s="308">
        <f>IFERROR(基础运算!S20,0)</f>
        <v>0</v>
      </c>
      <c r="U17" s="308">
        <f>IFERROR(基础运算!T20,0)</f>
        <v>0</v>
      </c>
    </row>
    <row r="18" spans="1:21" ht="18" customHeight="1">
      <c r="A18" s="311" t="s">
        <v>932</v>
      </c>
      <c r="B18" s="312">
        <v>2</v>
      </c>
      <c r="C18" s="312" t="s">
        <v>933</v>
      </c>
      <c r="D18" s="313">
        <f>IFERROR(基础运算!C25,0)</f>
        <v>949708.26199999999</v>
      </c>
      <c r="E18" s="314"/>
      <c r="F18" s="315">
        <f>IFERROR(基础运算!E25,0)</f>
        <v>140900</v>
      </c>
      <c r="G18" s="315">
        <f>IFERROR(基础运算!F25,0)</f>
        <v>172500</v>
      </c>
      <c r="H18" s="315">
        <f>IFERROR(基础运算!G25,0)</f>
        <v>169004.88217600001</v>
      </c>
      <c r="I18" s="315">
        <f>IFERROR(基础运算!H25,0)</f>
        <v>19504.068480000005</v>
      </c>
      <c r="J18" s="315">
        <f>IFERROR(基础运算!I25,0)</f>
        <v>25355.289024000002</v>
      </c>
      <c r="K18" s="315">
        <f>IFERROR(基础运算!J25,0)</f>
        <v>148212.45822</v>
      </c>
      <c r="L18" s="315">
        <f>IFERROR(基础运算!K25,0)</f>
        <v>160907.62917599999</v>
      </c>
      <c r="M18" s="315">
        <f>IFERROR(基础运算!L25,0)</f>
        <v>57232.794206000006</v>
      </c>
      <c r="N18" s="315">
        <f>IFERROR(基础运算!M25,0)</f>
        <v>62813.670060000004</v>
      </c>
      <c r="O18" s="315">
        <f>IFERROR(基础运算!N25,0)</f>
        <v>38803.821960000001</v>
      </c>
      <c r="P18" s="315">
        <f>IFERROR(基础运算!O25,0)</f>
        <v>73324.04310000001</v>
      </c>
      <c r="Q18" s="315">
        <f>IFERROR(基础运算!P25,0)</f>
        <v>42434.655995000001</v>
      </c>
      <c r="R18" s="315">
        <f>IFERROR(基础运算!Q25,0)</f>
        <v>19982.620362999998</v>
      </c>
      <c r="S18" s="315">
        <f>IFERROR(基础运算!R25,0)</f>
        <v>10768.134239999999</v>
      </c>
      <c r="T18" s="315">
        <f>IFERROR(基础运算!S25,0)</f>
        <v>776.13000000000011</v>
      </c>
      <c r="U18" s="315">
        <f>IFERROR(基础运算!T25,0)</f>
        <v>388.06500000000187</v>
      </c>
    </row>
    <row r="19" spans="1:21" ht="18" customHeight="1">
      <c r="A19" s="141" t="s">
        <v>934</v>
      </c>
      <c r="B19" s="300">
        <v>2.1</v>
      </c>
      <c r="C19" s="309" t="s">
        <v>784</v>
      </c>
      <c r="D19" s="301">
        <f>IFERROR(基础运算!C26,0)</f>
        <v>0</v>
      </c>
      <c r="E19" s="302"/>
      <c r="F19" s="303">
        <f>IFERROR(基础运算!E26,0)</f>
        <v>0</v>
      </c>
      <c r="G19" s="303">
        <f>IFERROR(基础运算!F26,0)</f>
        <v>0</v>
      </c>
      <c r="H19" s="303">
        <f>IFERROR(基础运算!G26,0)</f>
        <v>0</v>
      </c>
      <c r="I19" s="303">
        <f>IFERROR(基础运算!H26,0)</f>
        <v>0</v>
      </c>
      <c r="J19" s="303">
        <f>IFERROR(基础运算!I26,0)</f>
        <v>0</v>
      </c>
      <c r="K19" s="303">
        <f>IFERROR(基础运算!J26,0)</f>
        <v>0</v>
      </c>
      <c r="L19" s="303">
        <f>IFERROR(基础运算!K26,0)</f>
        <v>0</v>
      </c>
      <c r="M19" s="303">
        <f>IFERROR(基础运算!L26,0)</f>
        <v>0</v>
      </c>
      <c r="N19" s="303">
        <f>IFERROR(基础运算!M26,0)</f>
        <v>0</v>
      </c>
      <c r="O19" s="303">
        <f>IFERROR(基础运算!N26,0)</f>
        <v>0</v>
      </c>
      <c r="P19" s="303">
        <f>IFERROR(基础运算!O26,0)</f>
        <v>0</v>
      </c>
      <c r="Q19" s="303">
        <f>IFERROR(基础运算!P26,0)</f>
        <v>0</v>
      </c>
      <c r="R19" s="303">
        <f>IFERROR(基础运算!Q26,0)</f>
        <v>0</v>
      </c>
      <c r="S19" s="303">
        <f>IFERROR(基础运算!R26,0)</f>
        <v>0</v>
      </c>
      <c r="T19" s="303">
        <f>IFERROR(基础运算!S26,0)</f>
        <v>0</v>
      </c>
      <c r="U19" s="303">
        <f>IFERROR(基础运算!T26,0)</f>
        <v>0</v>
      </c>
    </row>
    <row r="20" spans="1:21" ht="18" customHeight="1">
      <c r="A20" s="136" t="s">
        <v>935</v>
      </c>
      <c r="B20" s="304">
        <v>2.2000000000000002</v>
      </c>
      <c r="C20" s="305" t="s">
        <v>786</v>
      </c>
      <c r="D20" s="306">
        <f>IFERROR(基础运算!C27,0)</f>
        <v>315600</v>
      </c>
      <c r="E20" s="307"/>
      <c r="F20" s="308">
        <f>IFERROR(基础运算!E27,0)</f>
        <v>140900</v>
      </c>
      <c r="G20" s="308">
        <f>IFERROR(基础运算!F27,0)</f>
        <v>172500</v>
      </c>
      <c r="H20" s="308">
        <f>IFERROR(基础运算!G27,0)</f>
        <v>0</v>
      </c>
      <c r="I20" s="308">
        <f>IFERROR(基础运算!H27,0)</f>
        <v>0</v>
      </c>
      <c r="J20" s="308">
        <f>IFERROR(基础运算!I27,0)</f>
        <v>0</v>
      </c>
      <c r="K20" s="308">
        <f>IFERROR(基础运算!J27,0)</f>
        <v>0</v>
      </c>
      <c r="L20" s="308">
        <f>IFERROR(基础运算!K27,0)</f>
        <v>2200</v>
      </c>
      <c r="M20" s="308">
        <f>IFERROR(基础运算!L27,0)</f>
        <v>0</v>
      </c>
      <c r="N20" s="308">
        <f>IFERROR(基础运算!M27,0)</f>
        <v>0</v>
      </c>
      <c r="O20" s="308">
        <f>IFERROR(基础运算!N27,0)</f>
        <v>0</v>
      </c>
      <c r="P20" s="308">
        <f>IFERROR(基础运算!O27,0)</f>
        <v>0</v>
      </c>
      <c r="Q20" s="308">
        <f>IFERROR(基础运算!P27,0)</f>
        <v>0</v>
      </c>
      <c r="R20" s="308">
        <f>IFERROR(基础运算!Q27,0)</f>
        <v>0</v>
      </c>
      <c r="S20" s="308">
        <f>IFERROR(基础运算!R27,0)</f>
        <v>0</v>
      </c>
      <c r="T20" s="308">
        <f>IFERROR(基础运算!S27,0)</f>
        <v>0</v>
      </c>
      <c r="U20" s="308">
        <f>IFERROR(基础运算!T27,0)</f>
        <v>0</v>
      </c>
    </row>
    <row r="21" spans="1:21" ht="18" customHeight="1">
      <c r="A21" s="141" t="s">
        <v>936</v>
      </c>
      <c r="B21" s="300">
        <v>2.2999999999999998</v>
      </c>
      <c r="C21" s="309" t="s">
        <v>790</v>
      </c>
      <c r="D21" s="301">
        <f>IFERROR(基础运算!C29,0)</f>
        <v>145600</v>
      </c>
      <c r="E21" s="302"/>
      <c r="F21" s="303">
        <f>IFERROR(基础运算!E29,0)</f>
        <v>0</v>
      </c>
      <c r="G21" s="303">
        <f>IFERROR(基础运算!F29,0)</f>
        <v>0</v>
      </c>
      <c r="H21" s="303">
        <f>IFERROR(基础运算!G29,0)</f>
        <v>145600</v>
      </c>
      <c r="I21" s="303">
        <f>IFERROR(基础运算!H29,0)</f>
        <v>0</v>
      </c>
      <c r="J21" s="303">
        <f>IFERROR(基础运算!I29,0)</f>
        <v>0</v>
      </c>
      <c r="K21" s="303">
        <f>IFERROR(基础运算!J29,0)</f>
        <v>0</v>
      </c>
      <c r="L21" s="303">
        <f>IFERROR(基础运算!K29,0)</f>
        <v>145600</v>
      </c>
      <c r="M21" s="303">
        <f>IFERROR(基础运算!L29,0)</f>
        <v>0</v>
      </c>
      <c r="N21" s="303">
        <f>IFERROR(基础运算!M29,0)</f>
        <v>0</v>
      </c>
      <c r="O21" s="303">
        <f>IFERROR(基础运算!N29,0)</f>
        <v>0</v>
      </c>
      <c r="P21" s="303">
        <f>IFERROR(基础运算!O29,0)</f>
        <v>47600</v>
      </c>
      <c r="Q21" s="303">
        <f>IFERROR(基础运算!P29,0)</f>
        <v>0</v>
      </c>
      <c r="R21" s="303">
        <f>IFERROR(基础运算!Q29,0)</f>
        <v>0</v>
      </c>
      <c r="S21" s="303">
        <f>IFERROR(基础运算!R29,0)</f>
        <v>0</v>
      </c>
      <c r="T21" s="303">
        <f>IFERROR(基础运算!S29,0)</f>
        <v>0</v>
      </c>
      <c r="U21" s="303">
        <f>IFERROR(基础运算!T29,0)</f>
        <v>0</v>
      </c>
    </row>
    <row r="22" spans="1:21" ht="18" customHeight="1">
      <c r="A22" s="136" t="s">
        <v>937</v>
      </c>
      <c r="B22" s="304">
        <v>2.4</v>
      </c>
      <c r="C22" s="305" t="s">
        <v>938</v>
      </c>
      <c r="D22" s="306">
        <f>IFERROR(基础运算!C30,0)</f>
        <v>488508.26199999999</v>
      </c>
      <c r="E22" s="307"/>
      <c r="F22" s="308">
        <f>IFERROR(基础运算!E30,0)</f>
        <v>0</v>
      </c>
      <c r="G22" s="308">
        <f>IFERROR(基础运算!F30,0)</f>
        <v>0</v>
      </c>
      <c r="H22" s="308">
        <f>IFERROR(基础运算!G30,0)</f>
        <v>23404.882176000003</v>
      </c>
      <c r="I22" s="308">
        <f>IFERROR(基础运算!H30,0)</f>
        <v>19504.068480000005</v>
      </c>
      <c r="J22" s="308">
        <f>IFERROR(基础运算!I30,0)</f>
        <v>25355.289024000002</v>
      </c>
      <c r="K22" s="308">
        <f>IFERROR(基础运算!J30,0)</f>
        <v>148212.45822</v>
      </c>
      <c r="L22" s="308">
        <f>IFERROR(基础运算!K30,0)</f>
        <v>13107.629175999988</v>
      </c>
      <c r="M22" s="308">
        <f>IFERROR(基础运算!L30,0)</f>
        <v>57232.794206000006</v>
      </c>
      <c r="N22" s="308">
        <f>IFERROR(基础运算!M30,0)</f>
        <v>62813.670060000004</v>
      </c>
      <c r="O22" s="308">
        <f>IFERROR(基础运算!N30,0)</f>
        <v>38803.821960000001</v>
      </c>
      <c r="P22" s="308">
        <f>IFERROR(基础运算!O30,0)</f>
        <v>25724.043100000003</v>
      </c>
      <c r="Q22" s="308">
        <f>IFERROR(基础运算!P30,0)</f>
        <v>42434.655995000001</v>
      </c>
      <c r="R22" s="308">
        <f>IFERROR(基础运算!Q30,0)</f>
        <v>19982.620362999998</v>
      </c>
      <c r="S22" s="308">
        <f>IFERROR(基础运算!R30,0)</f>
        <v>10768.134239999999</v>
      </c>
      <c r="T22" s="308">
        <f>IFERROR(基础运算!S30,0)</f>
        <v>776.13000000000011</v>
      </c>
      <c r="U22" s="308">
        <f>IFERROR(基础运算!T30,0)</f>
        <v>388.06500000000187</v>
      </c>
    </row>
    <row r="23" spans="1:21" ht="18" customHeight="1">
      <c r="A23" s="141" t="s">
        <v>939</v>
      </c>
      <c r="B23" s="300">
        <v>2.5</v>
      </c>
      <c r="C23" s="309" t="s">
        <v>892</v>
      </c>
      <c r="D23" s="301">
        <f>IFERROR(基础运算!C28,0)</f>
        <v>0</v>
      </c>
      <c r="E23" s="302"/>
      <c r="F23" s="303">
        <f>IFERROR(基础运算!E28,0)</f>
        <v>0</v>
      </c>
      <c r="G23" s="303">
        <f>IFERROR(基础运算!F28,0)</f>
        <v>0</v>
      </c>
      <c r="H23" s="303">
        <f>IFERROR(基础运算!G28,0)</f>
        <v>0</v>
      </c>
      <c r="I23" s="303">
        <f>IFERROR(基础运算!H28,0)</f>
        <v>0</v>
      </c>
      <c r="J23" s="303">
        <f>IFERROR(基础运算!I28,0)</f>
        <v>0</v>
      </c>
      <c r="K23" s="303">
        <f>IFERROR(基础运算!J28,0)</f>
        <v>0</v>
      </c>
      <c r="L23" s="303">
        <f>IFERROR(基础运算!K28,0)</f>
        <v>0</v>
      </c>
      <c r="M23" s="303">
        <f>IFERROR(基础运算!L28,0)</f>
        <v>0</v>
      </c>
      <c r="N23" s="303">
        <f>IFERROR(基础运算!M28,0)</f>
        <v>0</v>
      </c>
      <c r="O23" s="303">
        <f>IFERROR(基础运算!N28,0)</f>
        <v>0</v>
      </c>
      <c r="P23" s="303">
        <f>IFERROR(基础运算!O28,0)</f>
        <v>0</v>
      </c>
      <c r="Q23" s="303">
        <f>IFERROR(基础运算!P28,0)</f>
        <v>0</v>
      </c>
      <c r="R23" s="303">
        <f>IFERROR(基础运算!Q28,0)</f>
        <v>0</v>
      </c>
      <c r="S23" s="303">
        <f>IFERROR(基础运算!R28,0)</f>
        <v>0</v>
      </c>
      <c r="T23" s="303">
        <f>IFERROR(基础运算!S28,0)</f>
        <v>0</v>
      </c>
      <c r="U23" s="303">
        <f>IFERROR(基础运算!T28,0)</f>
        <v>0</v>
      </c>
    </row>
    <row r="24" spans="1:21" ht="18" customHeight="1">
      <c r="A24" s="311" t="s">
        <v>940</v>
      </c>
      <c r="B24" s="312">
        <v>3</v>
      </c>
      <c r="C24" s="312" t="s">
        <v>941</v>
      </c>
      <c r="D24" s="313">
        <f>IFERROR(基础运算!C31,0)</f>
        <v>505305.92475525872</v>
      </c>
      <c r="E24" s="314"/>
      <c r="F24" s="315">
        <f>IFERROR(基础运算!E31,0)</f>
        <v>2054.919613552629</v>
      </c>
      <c r="G24" s="315">
        <f>IFERROR(基础运算!F31,0)</f>
        <v>4310.0080800231954</v>
      </c>
      <c r="H24" s="315">
        <f>IFERROR(基础运算!G31,0)</f>
        <v>156449.70661723052</v>
      </c>
      <c r="I24" s="315">
        <f>IFERROR(基础运算!H31,0)</f>
        <v>7408.689139074806</v>
      </c>
      <c r="J24" s="315">
        <f>IFERROR(基础运算!I31,0)</f>
        <v>12609.673855182691</v>
      </c>
      <c r="K24" s="315">
        <f>IFERROR(基础运算!J31,0)</f>
        <v>122771.40631586198</v>
      </c>
      <c r="L24" s="315">
        <f>IFERROR(基础运算!K31,0)</f>
        <v>145784.12524678401</v>
      </c>
      <c r="M24" s="315">
        <f>IFERROR(基础运算!L31,0)</f>
        <v>46148.917535815184</v>
      </c>
      <c r="N24" s="315">
        <f>IFERROR(基础运算!M31,0)</f>
        <v>46207.295497465908</v>
      </c>
      <c r="O24" s="315">
        <f>IFERROR(基础运算!N31,0)</f>
        <v>27369.213539782191</v>
      </c>
      <c r="P24" s="315">
        <f>IFERROR(基础运算!O31,0)</f>
        <v>60641.886695682799</v>
      </c>
      <c r="Q24" s="315">
        <f>IFERROR(基础运算!P31,0)</f>
        <v>31688.533896549401</v>
      </c>
      <c r="R24" s="315">
        <f>IFERROR(基础运算!Q31,0)</f>
        <v>18850.993203213136</v>
      </c>
      <c r="S24" s="315">
        <f>IFERROR(基础运算!R31,0)</f>
        <v>9891.9021571764388</v>
      </c>
      <c r="T24" s="315">
        <f>IFERROR(基础运算!S31,0)</f>
        <v>421.82245871285465</v>
      </c>
      <c r="U24" s="315">
        <f>IFERROR(基础运算!T31,0)</f>
        <v>5896.8309031510653</v>
      </c>
    </row>
    <row r="25" spans="1:21" ht="18" customHeight="1">
      <c r="A25" s="136" t="s">
        <v>942</v>
      </c>
      <c r="B25" s="304">
        <v>3.1</v>
      </c>
      <c r="C25" s="305" t="s">
        <v>796</v>
      </c>
      <c r="D25" s="306">
        <f>IFERROR(基础运算!C32,0)</f>
        <v>26149.75</v>
      </c>
      <c r="E25" s="307"/>
      <c r="F25" s="308">
        <f>IFERROR(基础运算!E32,0)</f>
        <v>1937.375</v>
      </c>
      <c r="G25" s="308">
        <f>IFERROR(基础运算!F32,0)</f>
        <v>4309.25</v>
      </c>
      <c r="H25" s="308">
        <f>IFERROR(基础运算!G32,0)</f>
        <v>3581.5</v>
      </c>
      <c r="I25" s="308">
        <f>IFERROR(基础运算!H32,0)</f>
        <v>3518.25</v>
      </c>
      <c r="J25" s="308">
        <f>IFERROR(基础运算!I32,0)</f>
        <v>3393.125</v>
      </c>
      <c r="K25" s="308">
        <f>IFERROR(基础运算!J32,0)</f>
        <v>1750</v>
      </c>
      <c r="L25" s="308">
        <f>IFERROR(基础运算!K32,0)</f>
        <v>1780.25</v>
      </c>
      <c r="M25" s="308">
        <f>IFERROR(基础运算!L32,0)</f>
        <v>1365</v>
      </c>
      <c r="N25" s="308">
        <f>IFERROR(基础运算!M32,0)</f>
        <v>1365</v>
      </c>
      <c r="O25" s="308">
        <f>IFERROR(基础运算!N32,0)</f>
        <v>1365</v>
      </c>
      <c r="P25" s="308">
        <f>IFERROR(基础运算!O32,0)</f>
        <v>446.25</v>
      </c>
      <c r="Q25" s="308">
        <f>IFERROR(基础运算!P32,0)</f>
        <v>446.25</v>
      </c>
      <c r="R25" s="308">
        <f>IFERROR(基础运算!Q32,0)</f>
        <v>446.25</v>
      </c>
      <c r="S25" s="308">
        <f>IFERROR(基础运算!R32,0)</f>
        <v>446.25</v>
      </c>
      <c r="T25" s="308">
        <f>IFERROR(基础运算!S32,0)</f>
        <v>0</v>
      </c>
      <c r="U25" s="308">
        <f>IFERROR(基础运算!T32,0)</f>
        <v>0</v>
      </c>
    </row>
    <row r="26" spans="1:21" ht="18" customHeight="1">
      <c r="A26" s="141" t="s">
        <v>943</v>
      </c>
      <c r="B26" s="300" t="s">
        <v>944</v>
      </c>
      <c r="C26" s="309" t="s">
        <v>798</v>
      </c>
      <c r="D26" s="301">
        <f>IFERROR(基础运算!C33,0)</f>
        <v>13444.75</v>
      </c>
      <c r="E26" s="302"/>
      <c r="F26" s="303">
        <f>IFERROR(基础运算!E33,0)</f>
        <v>1937.375</v>
      </c>
      <c r="G26" s="303">
        <f>IFERROR(基础运算!F33,0)</f>
        <v>4309.25</v>
      </c>
      <c r="H26" s="303">
        <f>IFERROR(基础运算!G33,0)</f>
        <v>2216.5</v>
      </c>
      <c r="I26" s="303">
        <f>IFERROR(基础运算!H33,0)</f>
        <v>2153.25</v>
      </c>
      <c r="J26" s="303">
        <f>IFERROR(基础运算!I33,0)</f>
        <v>2028.125</v>
      </c>
      <c r="K26" s="303">
        <f>IFERROR(基础运算!J33,0)</f>
        <v>385</v>
      </c>
      <c r="L26" s="303">
        <f>IFERROR(基础运算!K33,0)</f>
        <v>415.25</v>
      </c>
      <c r="M26" s="303">
        <f>IFERROR(基础运算!L33,0)</f>
        <v>0</v>
      </c>
      <c r="N26" s="303">
        <f>IFERROR(基础运算!M33,0)</f>
        <v>0</v>
      </c>
      <c r="O26" s="303">
        <f>IFERROR(基础运算!N33,0)</f>
        <v>0</v>
      </c>
      <c r="P26" s="303">
        <f>IFERROR(基础运算!O33,0)</f>
        <v>0</v>
      </c>
      <c r="Q26" s="303">
        <f>IFERROR(基础运算!P33,0)</f>
        <v>0</v>
      </c>
      <c r="R26" s="303">
        <f>IFERROR(基础运算!Q33,0)</f>
        <v>0</v>
      </c>
      <c r="S26" s="303">
        <f>IFERROR(基础运算!R33,0)</f>
        <v>0</v>
      </c>
      <c r="T26" s="303">
        <f>IFERROR(基础运算!S33,0)</f>
        <v>0</v>
      </c>
      <c r="U26" s="303">
        <f>IFERROR(基础运算!T33,0)</f>
        <v>0</v>
      </c>
    </row>
    <row r="27" spans="1:21" ht="18" customHeight="1">
      <c r="A27" s="136" t="s">
        <v>945</v>
      </c>
      <c r="B27" s="304" t="s">
        <v>946</v>
      </c>
      <c r="C27" s="305" t="s">
        <v>800</v>
      </c>
      <c r="D27" s="306">
        <f>IFERROR(基础运算!C34,0)</f>
        <v>12705</v>
      </c>
      <c r="E27" s="307"/>
      <c r="F27" s="308">
        <f>IFERROR(基础运算!E34,0)</f>
        <v>0</v>
      </c>
      <c r="G27" s="308">
        <f>IFERROR(基础运算!F34,0)</f>
        <v>0</v>
      </c>
      <c r="H27" s="308">
        <f>IFERROR(基础运算!G34,0)</f>
        <v>1365</v>
      </c>
      <c r="I27" s="308">
        <f>IFERROR(基础运算!H34,0)</f>
        <v>1365</v>
      </c>
      <c r="J27" s="308">
        <f>IFERROR(基础运算!I34,0)</f>
        <v>1365</v>
      </c>
      <c r="K27" s="308">
        <f>IFERROR(基础运算!J34,0)</f>
        <v>1365</v>
      </c>
      <c r="L27" s="308">
        <f>IFERROR(基础运算!K34,0)</f>
        <v>1365</v>
      </c>
      <c r="M27" s="308">
        <f>IFERROR(基础运算!L34,0)</f>
        <v>1365</v>
      </c>
      <c r="N27" s="308">
        <f>IFERROR(基础运算!M34,0)</f>
        <v>1365</v>
      </c>
      <c r="O27" s="308">
        <f>IFERROR(基础运算!N34,0)</f>
        <v>1365</v>
      </c>
      <c r="P27" s="308">
        <f>IFERROR(基础运算!O34,0)</f>
        <v>446.25</v>
      </c>
      <c r="Q27" s="308">
        <f>IFERROR(基础运算!P34,0)</f>
        <v>446.25</v>
      </c>
      <c r="R27" s="308">
        <f>IFERROR(基础运算!Q34,0)</f>
        <v>446.25</v>
      </c>
      <c r="S27" s="308">
        <f>IFERROR(基础运算!R34,0)</f>
        <v>446.25</v>
      </c>
      <c r="T27" s="308">
        <f>IFERROR(基础运算!S34,0)</f>
        <v>0</v>
      </c>
      <c r="U27" s="308">
        <f>IFERROR(基础运算!T34,0)</f>
        <v>0</v>
      </c>
    </row>
    <row r="28" spans="1:21" ht="18" customHeight="1">
      <c r="A28" s="141" t="s">
        <v>947</v>
      </c>
      <c r="B28" s="300">
        <v>3.2</v>
      </c>
      <c r="C28" s="309" t="s">
        <v>804</v>
      </c>
      <c r="D28" s="301">
        <f>IFERROR(基础运算!C36,0)</f>
        <v>461200</v>
      </c>
      <c r="E28" s="302"/>
      <c r="F28" s="303">
        <f>IFERROR(基础运算!E36,0)</f>
        <v>0</v>
      </c>
      <c r="G28" s="303">
        <f>IFERROR(基础运算!F36,0)</f>
        <v>0</v>
      </c>
      <c r="H28" s="303">
        <f>IFERROR(基础运算!G36,0)</f>
        <v>152200</v>
      </c>
      <c r="I28" s="303">
        <f>IFERROR(基础运算!H36,0)</f>
        <v>4600</v>
      </c>
      <c r="J28" s="303">
        <f>IFERROR(基础运算!I36,0)</f>
        <v>9100</v>
      </c>
      <c r="K28" s="303">
        <f>IFERROR(基础运算!J36,0)</f>
        <v>119500</v>
      </c>
      <c r="L28" s="303">
        <f>IFERROR(基础运算!K36,0)</f>
        <v>145600</v>
      </c>
      <c r="M28" s="303">
        <f>IFERROR(基础运算!L36,0)</f>
        <v>30200</v>
      </c>
      <c r="N28" s="303">
        <f>IFERROR(基础运算!M36,0)</f>
        <v>0</v>
      </c>
      <c r="O28" s="303">
        <f>IFERROR(基础运算!N36,0)</f>
        <v>0</v>
      </c>
      <c r="P28" s="303">
        <f>IFERROR(基础运算!O36,0)</f>
        <v>145600</v>
      </c>
      <c r="Q28" s="303">
        <f>IFERROR(基础运算!P36,0)</f>
        <v>0</v>
      </c>
      <c r="R28" s="303">
        <f>IFERROR(基础运算!Q36,0)</f>
        <v>0</v>
      </c>
      <c r="S28" s="303">
        <f>IFERROR(基础运算!R36,0)</f>
        <v>0</v>
      </c>
      <c r="T28" s="303">
        <f>IFERROR(基础运算!S36,0)</f>
        <v>47600</v>
      </c>
      <c r="U28" s="303">
        <f>IFERROR(基础运算!T36,0)</f>
        <v>0</v>
      </c>
    </row>
    <row r="29" spans="1:21" ht="18" customHeight="1">
      <c r="A29" s="136" t="s">
        <v>948</v>
      </c>
      <c r="B29" s="304" t="s">
        <v>949</v>
      </c>
      <c r="C29" s="305" t="s">
        <v>806</v>
      </c>
      <c r="D29" s="316">
        <f>IFERROR(基础运算!C37,0)</f>
        <v>315600</v>
      </c>
      <c r="E29" s="317"/>
      <c r="F29" s="318">
        <f>IFERROR(基础运算!E37,0)</f>
        <v>0</v>
      </c>
      <c r="G29" s="318">
        <f>IFERROR(基础运算!F37,0)</f>
        <v>0</v>
      </c>
      <c r="H29" s="318">
        <f>IFERROR(基础运算!G37,0)</f>
        <v>152200</v>
      </c>
      <c r="I29" s="318">
        <f>IFERROR(基础运算!H37,0)</f>
        <v>4600</v>
      </c>
      <c r="J29" s="318">
        <f>IFERROR(基础运算!I37,0)</f>
        <v>9100</v>
      </c>
      <c r="K29" s="318">
        <f>IFERROR(基础运算!J37,0)</f>
        <v>119500</v>
      </c>
      <c r="L29" s="318">
        <f>IFERROR(基础运算!K37,0)</f>
        <v>0</v>
      </c>
      <c r="M29" s="318">
        <f>IFERROR(基础运算!L37,0)</f>
        <v>30200</v>
      </c>
      <c r="N29" s="318">
        <f>IFERROR(基础运算!M37,0)</f>
        <v>0</v>
      </c>
      <c r="O29" s="318">
        <f>IFERROR(基础运算!N37,0)</f>
        <v>0</v>
      </c>
      <c r="P29" s="318">
        <f>IFERROR(基础运算!O37,0)</f>
        <v>0</v>
      </c>
      <c r="Q29" s="318">
        <f>IFERROR(基础运算!P37,0)</f>
        <v>0</v>
      </c>
      <c r="R29" s="318">
        <f>IFERROR(基础运算!Q37,0)</f>
        <v>0</v>
      </c>
      <c r="S29" s="318">
        <f>IFERROR(基础运算!R37,0)</f>
        <v>0</v>
      </c>
      <c r="T29" s="318">
        <f>IFERROR(基础运算!S37,0)</f>
        <v>0</v>
      </c>
      <c r="U29" s="318">
        <f>IFERROR(基础运算!T37,0)</f>
        <v>0</v>
      </c>
    </row>
    <row r="30" spans="1:21" ht="18" customHeight="1">
      <c r="A30" s="141" t="s">
        <v>950</v>
      </c>
      <c r="B30" s="300" t="s">
        <v>951</v>
      </c>
      <c r="C30" s="309" t="s">
        <v>808</v>
      </c>
      <c r="D30" s="319">
        <f>IFERROR(基础运算!C38,0)</f>
        <v>145600</v>
      </c>
      <c r="E30" s="320"/>
      <c r="F30" s="321">
        <f>IFERROR(基础运算!E38,0)</f>
        <v>0</v>
      </c>
      <c r="G30" s="321">
        <f>IFERROR(基础运算!F38,0)</f>
        <v>0</v>
      </c>
      <c r="H30" s="321">
        <f>IFERROR(基础运算!G38,0)</f>
        <v>0</v>
      </c>
      <c r="I30" s="321">
        <f>IFERROR(基础运算!H38,0)</f>
        <v>0</v>
      </c>
      <c r="J30" s="321">
        <f>IFERROR(基础运算!I38,0)</f>
        <v>0</v>
      </c>
      <c r="K30" s="321">
        <f>IFERROR(基础运算!J38,0)</f>
        <v>0</v>
      </c>
      <c r="L30" s="321">
        <f>IFERROR(基础运算!K38,0)</f>
        <v>145600</v>
      </c>
      <c r="M30" s="321">
        <f>IFERROR(基础运算!L38,0)</f>
        <v>0</v>
      </c>
      <c r="N30" s="321">
        <f>IFERROR(基础运算!M38,0)</f>
        <v>0</v>
      </c>
      <c r="O30" s="321">
        <f>IFERROR(基础运算!N38,0)</f>
        <v>0</v>
      </c>
      <c r="P30" s="321">
        <f>IFERROR(基础运算!O38,0)</f>
        <v>145600</v>
      </c>
      <c r="Q30" s="321">
        <f>IFERROR(基础运算!P38,0)</f>
        <v>0</v>
      </c>
      <c r="R30" s="321">
        <f>IFERROR(基础运算!Q38,0)</f>
        <v>0</v>
      </c>
      <c r="S30" s="321">
        <f>IFERROR(基础运算!R38,0)</f>
        <v>0</v>
      </c>
      <c r="T30" s="321">
        <f>IFERROR(基础运算!S38,0)</f>
        <v>47600</v>
      </c>
      <c r="U30" s="321">
        <f>IFERROR(基础运算!T38,0)</f>
        <v>0</v>
      </c>
    </row>
    <row r="31" spans="1:21" ht="18" customHeight="1">
      <c r="A31" s="311" t="s">
        <v>952</v>
      </c>
      <c r="B31" s="312">
        <v>4</v>
      </c>
      <c r="C31" s="312" t="s">
        <v>812</v>
      </c>
      <c r="D31" s="313">
        <f>IFERROR(基础运算!C40,0)</f>
        <v>17956.174755258719</v>
      </c>
      <c r="E31" s="314"/>
      <c r="F31" s="315">
        <f>IFERROR(基础运算!E40,0)</f>
        <v>117.54461355262902</v>
      </c>
      <c r="G31" s="315">
        <f>IFERROR(基础运算!F40,0)</f>
        <v>0.75808002319536172</v>
      </c>
      <c r="H31" s="315">
        <f>IFERROR(基础运算!G40,0)</f>
        <v>668.20661723052035</v>
      </c>
      <c r="I31" s="315">
        <f>IFERROR(基础运算!H40,0)</f>
        <v>-709.56086092519399</v>
      </c>
      <c r="J31" s="315">
        <f>IFERROR(基础运算!I40,0)</f>
        <v>116.54885518269111</v>
      </c>
      <c r="K31" s="315">
        <f>IFERROR(基础运算!J40,0)</f>
        <v>1521.4063158619829</v>
      </c>
      <c r="L31" s="315">
        <f>IFERROR(基础运算!K40,0)</f>
        <v>-1596.1247532159905</v>
      </c>
      <c r="M31" s="315">
        <f>IFERROR(基础运算!L40,0)</f>
        <v>14583.917535815184</v>
      </c>
      <c r="N31" s="315">
        <f>IFERROR(基础运算!M40,0)</f>
        <v>44842.295497465908</v>
      </c>
      <c r="O31" s="315">
        <f>IFERROR(基础运算!N40,0)</f>
        <v>26004.213539782191</v>
      </c>
      <c r="P31" s="315">
        <f>IFERROR(基础运算!O40,0)</f>
        <v>-85404.363304317201</v>
      </c>
      <c r="Q31" s="315">
        <f>IFERROR(基础运算!P40,0)</f>
        <v>31242.283896549401</v>
      </c>
      <c r="R31" s="315">
        <f>IFERROR(基础运算!Q40,0)</f>
        <v>18404.743203213136</v>
      </c>
      <c r="S31" s="315">
        <f>IFERROR(基础运算!R40,0)</f>
        <v>9445.6521571764388</v>
      </c>
      <c r="T31" s="315">
        <f>IFERROR(基础运算!S40,0)</f>
        <v>-47178.177541287143</v>
      </c>
      <c r="U31" s="315">
        <f>IFERROR(基础运算!T40,0)</f>
        <v>5896.8309031510653</v>
      </c>
    </row>
    <row r="32" spans="1:21" ht="18" customHeight="1">
      <c r="A32" s="311" t="s">
        <v>953</v>
      </c>
      <c r="B32" s="312">
        <v>5</v>
      </c>
      <c r="C32" s="312" t="s">
        <v>954</v>
      </c>
      <c r="D32" s="313">
        <f>IFERROR(U32,0)</f>
        <v>17956.174755258813</v>
      </c>
      <c r="E32" s="314"/>
      <c r="F32" s="315">
        <f>IFERROR(基础运算!E41,0)</f>
        <v>117.54461355262902</v>
      </c>
      <c r="G32" s="315">
        <f>IFERROR(基础运算!F41,0)</f>
        <v>118.30269357582438</v>
      </c>
      <c r="H32" s="315">
        <f>IFERROR(基础运算!G41,0)</f>
        <v>786.50931080634473</v>
      </c>
      <c r="I32" s="315">
        <f>IFERROR(基础运算!H41,0)</f>
        <v>76.948449881150736</v>
      </c>
      <c r="J32" s="315">
        <f>IFERROR(基础运算!I41,0)</f>
        <v>193.49730506384185</v>
      </c>
      <c r="K32" s="315">
        <f>IFERROR(基础运算!J41,0)</f>
        <v>1714.9036209258247</v>
      </c>
      <c r="L32" s="315">
        <f>IFERROR(基础运算!K41,0)</f>
        <v>118.77886770983423</v>
      </c>
      <c r="M32" s="315">
        <f>IFERROR(基础运算!L41,0)</f>
        <v>14702.696403525018</v>
      </c>
      <c r="N32" s="315">
        <f>IFERROR(基础运算!M41,0)</f>
        <v>59544.991900990928</v>
      </c>
      <c r="O32" s="315">
        <f>IFERROR(基础运算!N41,0)</f>
        <v>85549.205440773119</v>
      </c>
      <c r="P32" s="315">
        <f>IFERROR(基础运算!O41,0)</f>
        <v>144.84213645591808</v>
      </c>
      <c r="Q32" s="315">
        <f>IFERROR(基础运算!P41,0)</f>
        <v>31387.126033005319</v>
      </c>
      <c r="R32" s="315">
        <f>IFERROR(基础运算!Q41,0)</f>
        <v>49791.869236218452</v>
      </c>
      <c r="S32" s="315">
        <f>IFERROR(基础运算!R41,0)</f>
        <v>59237.521393394891</v>
      </c>
      <c r="T32" s="315">
        <f>IFERROR(基础运算!S41,0)</f>
        <v>12059.343852107748</v>
      </c>
      <c r="U32" s="315">
        <f>IFERROR(基础运算!T41,0)</f>
        <v>17956.174755258813</v>
      </c>
    </row>
    <row r="33" spans="1:21" ht="42" customHeight="1">
      <c r="A33" s="311" t="s">
        <v>955</v>
      </c>
      <c r="B33" s="312">
        <v>6</v>
      </c>
      <c r="C33" s="322" t="s">
        <v>956</v>
      </c>
      <c r="D33" s="313">
        <f>IFERROR(SUM(F33:U33),0)</f>
        <v>17956.174755258813</v>
      </c>
      <c r="E33" s="314">
        <v>0</v>
      </c>
      <c r="F33" s="315">
        <f>IFERROR(IF(COLUMN()-5&lt;16,IF(E36+MAX(F31*0.7,0)&lt;不含税净利,IF(H32&gt;不含税净利,MAX(F31*0.7,0),0),0),F32-SUM(E33:$F33)),0)</f>
        <v>0</v>
      </c>
      <c r="G33" s="315">
        <f>IFERROR(IF(COLUMN()-5&lt;16,IF(F36+MAX(G31*0.7,0)&lt;不含税净利,IF(I32&gt;不含税净利,MAX(G31*0.7,0),0),0),G32-SUM(F33:$F33)),0)</f>
        <v>0</v>
      </c>
      <c r="H33" s="315">
        <f>IFERROR(IF(COLUMN()-5&lt;16,IF(G36+MAX(H31*0.7,0)&lt;不含税净利,IF(J32&gt;不含税净利,MAX(H31*0.7,0),0),0),H32-SUM($F33:G33)),0)</f>
        <v>0</v>
      </c>
      <c r="I33" s="315">
        <f>IFERROR(IF(COLUMN()-5&lt;16,IF(H36+MAX(I31*0.7,0)&lt;不含税净利,IF(K32&gt;不含税净利,MAX(I31*0.7,0),0),0),I32-SUM($F33:H33)),0)</f>
        <v>0</v>
      </c>
      <c r="J33" s="315">
        <f>IFERROR(IF(COLUMN()-5&lt;16,IF(I36+MAX(J31*0.7,0)&lt;不含税净利,IF(L32&gt;不含税净利,MAX(J31*0.7,0),0),0),J32-SUM($F33:I33)),0)</f>
        <v>0</v>
      </c>
      <c r="K33" s="315">
        <f>IFERROR(IF(COLUMN()-5&lt;16,IF(J36+MAX(K31*0.7,0)&lt;不含税净利,IF(M32&gt;不含税净利,MAX(K31*0.7,0),0),0),K32-SUM($F33:J33)),0)</f>
        <v>0</v>
      </c>
      <c r="L33" s="315">
        <f>IFERROR(IF(COLUMN()-5&lt;16,IF(K36+MAX(L31*0.7,0)&lt;不含税净利,IF(N32&gt;不含税净利,MAX(L31*0.7,0),0),0),L32-SUM($F33:K33)),0)</f>
        <v>0</v>
      </c>
      <c r="M33" s="315">
        <f>IFERROR(IF(COLUMN()-5&lt;16,IF(L36+MAX(M31*0.7,0)&lt;不含税净利,IF(O32&gt;不含税净利,MAX(M31*0.7,0),0),0),M32-SUM($F33:L33)),0)</f>
        <v>10208.742275070628</v>
      </c>
      <c r="N33" s="315">
        <f>IFERROR(IF(COLUMN()-5&lt;16,IF(M36+MAX(N31*0.7,0)&lt;不含税净利,IF(P32&gt;不含税净利,MAX(N31*0.7,0),0),0),N32-SUM($F33:M33)),0)</f>
        <v>0</v>
      </c>
      <c r="O33" s="315">
        <f>IFERROR(IF(COLUMN()-5&lt;16,IF(N36+MAX(O31*0.7,0)&lt;不含税净利,IF(Q32&gt;不含税净利,MAX(O31*0.7,0),0),0),O32-SUM($F33:N33)),0)</f>
        <v>0</v>
      </c>
      <c r="P33" s="315">
        <f>IFERROR(IF(COLUMN()-5&lt;16,IF(O36+MAX(P31*0.7,0)&lt;不含税净利,IF(R32&gt;不含税净利,MAX(P31*0.7,0),0),0),P32-SUM($F33:O33)),0)</f>
        <v>0</v>
      </c>
      <c r="Q33" s="315">
        <f>IFERROR(IF(COLUMN()-5&lt;16,IF(P36+MAX(Q31*0.7,0)&lt;不含税净利,IF(S32&gt;不含税净利,MAX(Q31*0.7,0),0),0),Q32-SUM($F33:P33)),0)</f>
        <v>0</v>
      </c>
      <c r="R33" s="315">
        <f>IFERROR(IF(COLUMN()-5&lt;16,IF(Q36+MAX(R31*0.7,0)&lt;不含税净利,IF(T32&gt;不含税净利,MAX(R31*0.7,0),0),0),R32-SUM($F33:Q33)),0)</f>
        <v>0</v>
      </c>
      <c r="S33" s="315">
        <f>IFERROR(IF(COLUMN()-5&lt;16,IF(R36+MAX(S31*0.7,0)&lt;不含税净利,IF(U32&gt;不含税净利,MAX(S31*0.7,0),0),0),S32-SUM($F33:R33)),0)</f>
        <v>0</v>
      </c>
      <c r="T33" s="315">
        <f>IFERROR(IF(COLUMN()-5&lt;16,IF(S36+MAX(T31*0.7,0)&lt;不含税净利,IF(V32&gt;不含税净利,MAX(T31*0.7,0),0),0),T32-SUM($F33:S33)),0)</f>
        <v>0</v>
      </c>
      <c r="U33" s="315">
        <f>IFERROR(IF(COLUMN()-5&lt;16,IF(T36+MAX(U31*0.7,0)&lt;不含税净利,IF(W32&gt;不含税净利,MAX(U31*0.7,0),0),0),U32-SUM($F33:T33)),0)</f>
        <v>7747.4324801881849</v>
      </c>
    </row>
    <row r="34" spans="1:21" ht="18" customHeight="1">
      <c r="A34" s="311" t="s">
        <v>957</v>
      </c>
      <c r="B34" s="312">
        <v>7</v>
      </c>
      <c r="C34" s="312" t="s">
        <v>958</v>
      </c>
      <c r="D34" s="313">
        <f>IFERROR(SUM(F34:U34),0)</f>
        <v>31400.924755258817</v>
      </c>
      <c r="E34" s="314"/>
      <c r="F34" s="315">
        <f>IFERROR(F26+F29+F33-F20,0)</f>
        <v>-138962.625</v>
      </c>
      <c r="G34" s="315">
        <f t="shared" ref="G34:U34" si="1">IFERROR(G26+G29+G33-G20,0)</f>
        <v>-168190.75</v>
      </c>
      <c r="H34" s="315">
        <f t="shared" si="1"/>
        <v>154416.5</v>
      </c>
      <c r="I34" s="315">
        <f t="shared" si="1"/>
        <v>6753.25</v>
      </c>
      <c r="J34" s="315">
        <f t="shared" si="1"/>
        <v>11128.125</v>
      </c>
      <c r="K34" s="315">
        <f t="shared" si="1"/>
        <v>119885</v>
      </c>
      <c r="L34" s="315">
        <f t="shared" si="1"/>
        <v>-1784.75</v>
      </c>
      <c r="M34" s="315">
        <f t="shared" si="1"/>
        <v>40408.742275070632</v>
      </c>
      <c r="N34" s="315">
        <f t="shared" si="1"/>
        <v>0</v>
      </c>
      <c r="O34" s="315">
        <f t="shared" si="1"/>
        <v>0</v>
      </c>
      <c r="P34" s="315">
        <f t="shared" si="1"/>
        <v>0</v>
      </c>
      <c r="Q34" s="315">
        <f t="shared" si="1"/>
        <v>0</v>
      </c>
      <c r="R34" s="315">
        <f t="shared" si="1"/>
        <v>0</v>
      </c>
      <c r="S34" s="315">
        <f t="shared" si="1"/>
        <v>0</v>
      </c>
      <c r="T34" s="315">
        <f t="shared" si="1"/>
        <v>0</v>
      </c>
      <c r="U34" s="315">
        <f t="shared" si="1"/>
        <v>7747.4324801881849</v>
      </c>
    </row>
    <row r="35" spans="1:21" ht="18" customHeight="1">
      <c r="A35" s="311" t="s">
        <v>692</v>
      </c>
      <c r="B35" s="312">
        <v>8</v>
      </c>
      <c r="C35" s="312" t="s">
        <v>659</v>
      </c>
      <c r="D35" s="323">
        <f>IFERROR((1+IRR(F34:U34))^4-1,0)</f>
        <v>0.12152764181662024</v>
      </c>
      <c r="E35" s="324"/>
      <c r="F35" s="325"/>
      <c r="G35" s="325"/>
      <c r="H35" s="325"/>
      <c r="I35" s="325"/>
      <c r="J35" s="350"/>
      <c r="K35" s="350"/>
      <c r="L35" s="350"/>
      <c r="M35" s="350"/>
      <c r="N35" s="350"/>
      <c r="O35" s="350"/>
      <c r="P35" s="350"/>
      <c r="Q35" s="350"/>
      <c r="R35" s="350"/>
      <c r="S35" s="350"/>
      <c r="T35" s="350"/>
      <c r="U35" s="355"/>
    </row>
    <row r="36" spans="1:21" ht="18" customHeight="1">
      <c r="A36" s="311" t="s">
        <v>959</v>
      </c>
      <c r="B36" s="312">
        <v>9</v>
      </c>
      <c r="C36" s="312" t="s">
        <v>960</v>
      </c>
      <c r="D36" s="313"/>
      <c r="E36" s="314"/>
      <c r="F36" s="315">
        <f>IFERROR(E36+F33,0)</f>
        <v>0</v>
      </c>
      <c r="G36" s="315">
        <f t="shared" ref="G36:U36" si="2">IFERROR(F36+G33,0)</f>
        <v>0</v>
      </c>
      <c r="H36" s="315">
        <f t="shared" si="2"/>
        <v>0</v>
      </c>
      <c r="I36" s="315">
        <f t="shared" si="2"/>
        <v>0</v>
      </c>
      <c r="J36" s="315">
        <f t="shared" si="2"/>
        <v>0</v>
      </c>
      <c r="K36" s="315">
        <f t="shared" si="2"/>
        <v>0</v>
      </c>
      <c r="L36" s="315">
        <f t="shared" si="2"/>
        <v>0</v>
      </c>
      <c r="M36" s="315">
        <f t="shared" si="2"/>
        <v>10208.742275070628</v>
      </c>
      <c r="N36" s="315">
        <f t="shared" si="2"/>
        <v>10208.742275070628</v>
      </c>
      <c r="O36" s="315">
        <f t="shared" si="2"/>
        <v>10208.742275070628</v>
      </c>
      <c r="P36" s="315">
        <f t="shared" si="2"/>
        <v>10208.742275070628</v>
      </c>
      <c r="Q36" s="315">
        <f t="shared" si="2"/>
        <v>10208.742275070628</v>
      </c>
      <c r="R36" s="315">
        <f t="shared" si="2"/>
        <v>10208.742275070628</v>
      </c>
      <c r="S36" s="315">
        <f t="shared" si="2"/>
        <v>10208.742275070628</v>
      </c>
      <c r="T36" s="315">
        <f t="shared" si="2"/>
        <v>10208.742275070628</v>
      </c>
      <c r="U36" s="315">
        <f t="shared" si="2"/>
        <v>17956.174755258813</v>
      </c>
    </row>
    <row r="37" spans="1:21" ht="18" customHeight="1">
      <c r="A37" s="311" t="s">
        <v>961</v>
      </c>
      <c r="B37" s="312">
        <v>10</v>
      </c>
      <c r="C37" s="312" t="s">
        <v>962</v>
      </c>
      <c r="D37" s="313">
        <f>IFERROR(U37,0)</f>
        <v>-3.637978807091713E-12</v>
      </c>
      <c r="E37" s="314"/>
      <c r="F37" s="315">
        <f>IFERROR(E37+F31-F33,0)</f>
        <v>117.54461355262902</v>
      </c>
      <c r="G37" s="315">
        <f t="shared" ref="G37:U37" si="3">IFERROR(F37+G31-G33,0)</f>
        <v>118.30269357582438</v>
      </c>
      <c r="H37" s="315">
        <f t="shared" si="3"/>
        <v>786.50931080634473</v>
      </c>
      <c r="I37" s="315">
        <f t="shared" si="3"/>
        <v>76.948449881150736</v>
      </c>
      <c r="J37" s="315">
        <f t="shared" si="3"/>
        <v>193.49730506384185</v>
      </c>
      <c r="K37" s="315">
        <f t="shared" si="3"/>
        <v>1714.9036209258247</v>
      </c>
      <c r="L37" s="315">
        <f t="shared" si="3"/>
        <v>118.77886770983423</v>
      </c>
      <c r="M37" s="315">
        <f t="shared" si="3"/>
        <v>4493.9541284543902</v>
      </c>
      <c r="N37" s="315">
        <f t="shared" si="3"/>
        <v>49336.249625920296</v>
      </c>
      <c r="O37" s="315">
        <f t="shared" si="3"/>
        <v>75340.463165702487</v>
      </c>
      <c r="P37" s="315">
        <f t="shared" si="3"/>
        <v>-10063.900138614714</v>
      </c>
      <c r="Q37" s="315">
        <f t="shared" si="3"/>
        <v>21178.383757934687</v>
      </c>
      <c r="R37" s="315">
        <f t="shared" si="3"/>
        <v>39583.12696114782</v>
      </c>
      <c r="S37" s="315">
        <f t="shared" si="3"/>
        <v>49028.779118324259</v>
      </c>
      <c r="T37" s="315">
        <f t="shared" si="3"/>
        <v>1850.6015770371159</v>
      </c>
      <c r="U37" s="315">
        <f t="shared" si="3"/>
        <v>-3.637978807091713E-12</v>
      </c>
    </row>
    <row r="38" spans="1:21" ht="18" customHeight="1">
      <c r="A38" s="136"/>
      <c r="B38" s="304"/>
      <c r="C38" s="304"/>
      <c r="D38" s="316"/>
      <c r="E38" s="317"/>
      <c r="F38" s="318"/>
      <c r="G38" s="318"/>
      <c r="H38" s="318"/>
      <c r="I38" s="318"/>
      <c r="J38" s="351"/>
      <c r="K38" s="351"/>
      <c r="L38" s="351"/>
      <c r="M38" s="351"/>
      <c r="N38" s="351"/>
      <c r="O38" s="351"/>
      <c r="P38" s="351"/>
      <c r="Q38" s="351"/>
      <c r="R38" s="351"/>
      <c r="S38" s="351"/>
      <c r="T38" s="351"/>
      <c r="U38" s="356"/>
    </row>
    <row r="39" spans="1:21" ht="18" customHeight="1">
      <c r="A39" s="141"/>
      <c r="B39" s="1262" t="s">
        <v>963</v>
      </c>
      <c r="C39" s="1262"/>
      <c r="D39" s="327"/>
      <c r="E39" s="328"/>
      <c r="F39" s="329"/>
      <c r="G39" s="329"/>
      <c r="H39" s="329"/>
      <c r="I39" s="329"/>
      <c r="J39" s="352"/>
      <c r="K39" s="352"/>
      <c r="L39" s="352"/>
      <c r="M39" s="352"/>
      <c r="N39" s="352"/>
      <c r="O39" s="352"/>
      <c r="P39" s="352"/>
      <c r="Q39" s="352"/>
      <c r="R39" s="352"/>
      <c r="S39" s="352"/>
      <c r="T39" s="352"/>
      <c r="U39" s="357"/>
    </row>
    <row r="40" spans="1:21" ht="18" customHeight="1">
      <c r="A40" s="136" t="s">
        <v>964</v>
      </c>
      <c r="B40" s="1261" t="s">
        <v>820</v>
      </c>
      <c r="C40" s="1261"/>
      <c r="D40" s="331"/>
      <c r="E40" s="332"/>
      <c r="F40" s="333">
        <f>IFERROR(基础运算!E44,0)</f>
        <v>2054.919613552629</v>
      </c>
      <c r="G40" s="333">
        <f>IFERROR(基础运算!F44,0)</f>
        <v>4310.0080800231954</v>
      </c>
      <c r="H40" s="333">
        <f>IFERROR(基础运算!G44,0)</f>
        <v>156449.70661723052</v>
      </c>
      <c r="I40" s="333">
        <f>IFERROR(基础运算!H44,0)</f>
        <v>7408.689139074806</v>
      </c>
      <c r="J40" s="333">
        <f>IFERROR(基础运算!I44,0)</f>
        <v>12609.673855182691</v>
      </c>
      <c r="K40" s="333">
        <f>IFERROR(基础运算!J44,0)</f>
        <v>122771.40631586198</v>
      </c>
      <c r="L40" s="333">
        <f>IFERROR(基础运算!K44,0)</f>
        <v>145784.12524678401</v>
      </c>
      <c r="M40" s="333">
        <f>IFERROR(基础运算!L44,0)</f>
        <v>46148.917535815184</v>
      </c>
      <c r="N40" s="333">
        <f>IFERROR(基础运算!M44,0)</f>
        <v>46207.295497465908</v>
      </c>
      <c r="O40" s="333">
        <f>IFERROR(基础运算!N44,0)</f>
        <v>27369.213539782191</v>
      </c>
      <c r="P40" s="333">
        <f>IFERROR(基础运算!O44,0)</f>
        <v>60641.886695682799</v>
      </c>
      <c r="Q40" s="333">
        <f>IFERROR(基础运算!P44,0)</f>
        <v>31688.533896549401</v>
      </c>
      <c r="R40" s="333">
        <f>IFERROR(基础运算!Q44,0)</f>
        <v>18850.993203213136</v>
      </c>
      <c r="S40" s="333">
        <f>IFERROR(基础运算!R44,0)</f>
        <v>9891.9021571764388</v>
      </c>
      <c r="T40" s="333">
        <f>IFERROR(基础运算!S44,0)</f>
        <v>421.82245871285465</v>
      </c>
      <c r="U40" s="333">
        <f>IFERROR(基础运算!T44,0)</f>
        <v>5896.8309031510653</v>
      </c>
    </row>
    <row r="41" spans="1:21" ht="18" customHeight="1">
      <c r="A41" s="141" t="s">
        <v>965</v>
      </c>
      <c r="B41" s="1262" t="s">
        <v>822</v>
      </c>
      <c r="C41" s="1262"/>
      <c r="D41" s="334"/>
      <c r="E41" s="335"/>
      <c r="F41" s="329">
        <f>IFERROR(基础运算!E45,0)</f>
        <v>2054.919613552629</v>
      </c>
      <c r="G41" s="329">
        <f>IFERROR(基础运算!F45,0)</f>
        <v>6364.9276935758244</v>
      </c>
      <c r="H41" s="329">
        <f>IFERROR(基础运算!G45,0)</f>
        <v>162814.63431080634</v>
      </c>
      <c r="I41" s="329">
        <f>IFERROR(基础运算!H45,0)</f>
        <v>170223.32344988117</v>
      </c>
      <c r="J41" s="329">
        <f>IFERROR(基础运算!I45,0)</f>
        <v>182832.99730506385</v>
      </c>
      <c r="K41" s="329">
        <f>IFERROR(基础运算!J45,0)</f>
        <v>305604.40362092585</v>
      </c>
      <c r="L41" s="329">
        <f>IFERROR(基础运算!K45,0)</f>
        <v>451388.52886770986</v>
      </c>
      <c r="M41" s="329">
        <f>IFERROR(基础运算!L45,0)</f>
        <v>497537.44640352507</v>
      </c>
      <c r="N41" s="329">
        <f>IFERROR(基础运算!M45,0)</f>
        <v>543744.74190099095</v>
      </c>
      <c r="O41" s="329">
        <f>IFERROR(基础运算!N45,0)</f>
        <v>571113.95544077316</v>
      </c>
      <c r="P41" s="329">
        <f>IFERROR(基础运算!O45,0)</f>
        <v>631755.84213645593</v>
      </c>
      <c r="Q41" s="329">
        <f>IFERROR(基础运算!P45,0)</f>
        <v>663444.3760330053</v>
      </c>
      <c r="R41" s="329">
        <f>IFERROR(基础运算!Q45,0)</f>
        <v>682295.36923621839</v>
      </c>
      <c r="S41" s="329">
        <f>IFERROR(基础运算!R45,0)</f>
        <v>692187.2713933948</v>
      </c>
      <c r="T41" s="329">
        <f>IFERROR(基础运算!S45,0)</f>
        <v>692609.09385210765</v>
      </c>
      <c r="U41" s="329">
        <f>IFERROR(基础运算!T45,0)</f>
        <v>698505.92475525872</v>
      </c>
    </row>
    <row r="42" spans="1:21" ht="18" customHeight="1">
      <c r="A42" s="136" t="s">
        <v>966</v>
      </c>
      <c r="B42" s="1261" t="s">
        <v>858</v>
      </c>
      <c r="C42" s="1261"/>
      <c r="D42" s="336">
        <f>IFERROR(基础运算!C73,0)</f>
        <v>698505.92475525883</v>
      </c>
      <c r="E42" s="337"/>
      <c r="F42" s="333"/>
      <c r="G42" s="333"/>
      <c r="H42" s="333"/>
      <c r="I42" s="333"/>
      <c r="J42" s="351"/>
      <c r="K42" s="351"/>
      <c r="L42" s="351"/>
      <c r="M42" s="351"/>
      <c r="N42" s="351"/>
      <c r="O42" s="351"/>
      <c r="P42" s="351"/>
      <c r="Q42" s="351"/>
      <c r="R42" s="351"/>
      <c r="S42" s="351"/>
      <c r="T42" s="351"/>
      <c r="U42" s="356"/>
    </row>
    <row r="43" spans="1:21" ht="18" customHeight="1">
      <c r="A43" s="141" t="s">
        <v>967</v>
      </c>
      <c r="B43" s="1263" t="s">
        <v>860</v>
      </c>
      <c r="C43" s="1264"/>
      <c r="D43" s="338" t="str">
        <f>IFERROR(基础运算!C74,0)</f>
        <v/>
      </c>
      <c r="E43" s="339"/>
      <c r="F43" s="340"/>
      <c r="G43" s="340"/>
      <c r="H43" s="340"/>
      <c r="I43" s="340"/>
      <c r="J43" s="353"/>
      <c r="K43" s="353"/>
      <c r="L43" s="353"/>
      <c r="M43" s="353"/>
      <c r="N43" s="353"/>
      <c r="O43" s="353"/>
      <c r="P43" s="353"/>
      <c r="Q43" s="353"/>
      <c r="R43" s="353"/>
      <c r="S43" s="353"/>
      <c r="T43" s="353"/>
      <c r="U43" s="358"/>
    </row>
    <row r="44" spans="1:21">
      <c r="A44" s="136" t="s">
        <v>968</v>
      </c>
      <c r="B44" s="1265" t="s">
        <v>969</v>
      </c>
      <c r="C44" s="1265"/>
      <c r="D44" s="341">
        <f>IFERROR(LOOKUP(1,1/(E34:U34&gt;0),E45:U45),0)</f>
        <v>10</v>
      </c>
      <c r="E44" s="342"/>
      <c r="F44" s="212"/>
      <c r="G44" s="212"/>
      <c r="H44" s="212"/>
      <c r="I44" s="212"/>
      <c r="J44" s="212"/>
      <c r="K44" s="212"/>
      <c r="L44" s="212"/>
      <c r="M44" s="212"/>
      <c r="N44" s="212"/>
      <c r="O44" s="212"/>
      <c r="P44" s="212"/>
      <c r="Q44" s="212"/>
      <c r="R44" s="212"/>
      <c r="S44" s="212"/>
      <c r="T44" s="212"/>
      <c r="U44" s="213"/>
    </row>
    <row r="45" spans="1:21" ht="14.25" hidden="1" customHeight="1">
      <c r="A45" s="158" t="s">
        <v>970</v>
      </c>
      <c r="B45" s="343" t="s">
        <v>970</v>
      </c>
      <c r="C45" s="343" t="s">
        <v>971</v>
      </c>
      <c r="D45" s="344"/>
      <c r="E45" s="345"/>
      <c r="F45" s="346">
        <f>IFERROR(COLUMN()-3,0)</f>
        <v>3</v>
      </c>
      <c r="G45" s="346">
        <f t="shared" ref="G45:U45" si="4">IFERROR(COLUMN()-3,0)</f>
        <v>4</v>
      </c>
      <c r="H45" s="346">
        <f t="shared" si="4"/>
        <v>5</v>
      </c>
      <c r="I45" s="346">
        <f t="shared" si="4"/>
        <v>6</v>
      </c>
      <c r="J45" s="346">
        <f t="shared" si="4"/>
        <v>7</v>
      </c>
      <c r="K45" s="346">
        <f t="shared" si="4"/>
        <v>8</v>
      </c>
      <c r="L45" s="346">
        <f t="shared" si="4"/>
        <v>9</v>
      </c>
      <c r="M45" s="346">
        <f t="shared" si="4"/>
        <v>10</v>
      </c>
      <c r="N45" s="346">
        <f t="shared" si="4"/>
        <v>11</v>
      </c>
      <c r="O45" s="346">
        <f t="shared" si="4"/>
        <v>12</v>
      </c>
      <c r="P45" s="346">
        <f t="shared" si="4"/>
        <v>13</v>
      </c>
      <c r="Q45" s="346">
        <f t="shared" si="4"/>
        <v>14</v>
      </c>
      <c r="R45" s="346">
        <f t="shared" si="4"/>
        <v>15</v>
      </c>
      <c r="S45" s="346">
        <f t="shared" si="4"/>
        <v>16</v>
      </c>
      <c r="T45" s="346">
        <f t="shared" si="4"/>
        <v>17</v>
      </c>
      <c r="U45" s="346">
        <f t="shared" si="4"/>
        <v>18</v>
      </c>
    </row>
    <row r="46" spans="1:21">
      <c r="A46" t="s">
        <v>5</v>
      </c>
      <c r="B46" s="347" t="s">
        <v>243</v>
      </c>
    </row>
    <row r="47" spans="1:21">
      <c r="C47" s="348" t="s">
        <v>972</v>
      </c>
    </row>
    <row r="48" spans="1:21">
      <c r="C48" s="348" t="s">
        <v>973</v>
      </c>
    </row>
    <row r="49" spans="3:3">
      <c r="C49" s="348" t="s">
        <v>974</v>
      </c>
    </row>
    <row r="50" spans="3:3">
      <c r="C50" s="348" t="s">
        <v>975</v>
      </c>
    </row>
    <row r="51" spans="3:3">
      <c r="C51" s="348" t="s">
        <v>976</v>
      </c>
    </row>
    <row r="52" spans="3:3">
      <c r="C52" s="348" t="s">
        <v>977</v>
      </c>
    </row>
    <row r="53" spans="3:3">
      <c r="C53" s="348" t="s">
        <v>978</v>
      </c>
    </row>
    <row r="54" spans="3:3">
      <c r="C54" s="348" t="s">
        <v>979</v>
      </c>
    </row>
    <row r="55" spans="3:3">
      <c r="C55" s="348" t="s">
        <v>980</v>
      </c>
    </row>
    <row r="56" spans="3:3">
      <c r="C56" s="348" t="s">
        <v>981</v>
      </c>
    </row>
  </sheetData>
  <mergeCells count="14">
    <mergeCell ref="B44:C44"/>
    <mergeCell ref="F3:I3"/>
    <mergeCell ref="J3:M3"/>
    <mergeCell ref="N3:Q3"/>
    <mergeCell ref="R3:U3"/>
    <mergeCell ref="B39:C39"/>
    <mergeCell ref="B3:B4"/>
    <mergeCell ref="C3:C4"/>
    <mergeCell ref="D3:D4"/>
    <mergeCell ref="B1:C2"/>
    <mergeCell ref="B40:C40"/>
    <mergeCell ref="B41:C41"/>
    <mergeCell ref="B42:C42"/>
    <mergeCell ref="B43:C43"/>
  </mergeCells>
  <phoneticPr fontId="43" type="noConversion"/>
  <pageMargins left="0.7" right="0.7" top="0.75" bottom="0.75" header="0.3" footer="0.3"/>
  <pageSetup paperSize="8"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showGridLines="0" workbookViewId="0">
      <pane xSplit="2" ySplit="4" topLeftCell="C5" activePane="bottomRight" state="frozen"/>
      <selection pane="topRight"/>
      <selection pane="bottomLeft"/>
      <selection pane="bottomRight" activeCell="F9" sqref="F9"/>
    </sheetView>
  </sheetViews>
  <sheetFormatPr defaultColWidth="9" defaultRowHeight="13.5"/>
  <cols>
    <col min="1" max="1" width="7.25" style="74" customWidth="1"/>
    <col min="2" max="2" width="21.875" style="74" customWidth="1"/>
    <col min="3" max="3" width="18.625" style="74" customWidth="1"/>
    <col min="4" max="4" width="16.625" style="74" hidden="1" customWidth="1"/>
    <col min="5" max="20" width="16.625" style="74" customWidth="1"/>
    <col min="21" max="16384" width="9" style="74"/>
  </cols>
  <sheetData>
    <row r="1" spans="1:20" ht="28.15" customHeight="1">
      <c r="A1" s="1270" t="s">
        <v>982</v>
      </c>
      <c r="B1" s="1033"/>
      <c r="C1" s="1033"/>
      <c r="D1" s="1077"/>
      <c r="E1" s="255"/>
      <c r="F1" s="255"/>
      <c r="G1" s="255"/>
      <c r="H1" s="255"/>
    </row>
    <row r="2" spans="1:20" ht="28.15" customHeight="1">
      <c r="A2" s="1034"/>
      <c r="B2" s="1034"/>
      <c r="C2" s="1034"/>
      <c r="D2" s="1078"/>
      <c r="E2" s="256" t="s">
        <v>912</v>
      </c>
      <c r="F2" s="257"/>
      <c r="G2" s="257"/>
      <c r="H2" s="257"/>
    </row>
    <row r="3" spans="1:20" ht="18" customHeight="1">
      <c r="A3" s="1271" t="s">
        <v>448</v>
      </c>
      <c r="B3" s="1273" t="s">
        <v>272</v>
      </c>
      <c r="C3" s="1273" t="s">
        <v>399</v>
      </c>
      <c r="D3" s="258"/>
      <c r="E3" s="1083" t="s">
        <v>180</v>
      </c>
      <c r="F3" s="1083"/>
      <c r="G3" s="1083"/>
      <c r="H3" s="1083"/>
      <c r="I3" s="1072" t="s">
        <v>181</v>
      </c>
      <c r="J3" s="1072"/>
      <c r="K3" s="1072"/>
      <c r="L3" s="1072"/>
      <c r="M3" s="1072" t="s">
        <v>182</v>
      </c>
      <c r="N3" s="1072"/>
      <c r="O3" s="1072"/>
      <c r="P3" s="1072"/>
      <c r="Q3" s="1072" t="s">
        <v>183</v>
      </c>
      <c r="R3" s="1072"/>
      <c r="S3" s="1072"/>
      <c r="T3" s="1073"/>
    </row>
    <row r="4" spans="1:20" ht="18" customHeight="1">
      <c r="A4" s="1272"/>
      <c r="B4" s="1274"/>
      <c r="C4" s="1274"/>
      <c r="D4" s="259"/>
      <c r="E4" s="260" t="s">
        <v>184</v>
      </c>
      <c r="F4" s="260" t="s">
        <v>185</v>
      </c>
      <c r="G4" s="260" t="s">
        <v>186</v>
      </c>
      <c r="H4" s="260" t="s">
        <v>187</v>
      </c>
      <c r="I4" s="285" t="s">
        <v>184</v>
      </c>
      <c r="J4" s="285" t="s">
        <v>185</v>
      </c>
      <c r="K4" s="285" t="s">
        <v>186</v>
      </c>
      <c r="L4" s="285" t="s">
        <v>187</v>
      </c>
      <c r="M4" s="285" t="s">
        <v>184</v>
      </c>
      <c r="N4" s="285" t="s">
        <v>185</v>
      </c>
      <c r="O4" s="285" t="s">
        <v>186</v>
      </c>
      <c r="P4" s="285" t="s">
        <v>187</v>
      </c>
      <c r="Q4" s="285" t="s">
        <v>184</v>
      </c>
      <c r="R4" s="285" t="s">
        <v>185</v>
      </c>
      <c r="S4" s="285" t="s">
        <v>186</v>
      </c>
      <c r="T4" s="286" t="s">
        <v>187</v>
      </c>
    </row>
    <row r="5" spans="1:20" ht="18" customHeight="1">
      <c r="A5" s="261">
        <v>1</v>
      </c>
      <c r="B5" s="262" t="s">
        <v>983</v>
      </c>
      <c r="C5" s="263"/>
      <c r="D5" s="264"/>
      <c r="E5" s="265">
        <f>IFERROR(E6+E7,0)</f>
        <v>0</v>
      </c>
      <c r="F5" s="265">
        <f t="shared" ref="F5:T5" si="0">IFERROR(F6+F7,0)</f>
        <v>140900</v>
      </c>
      <c r="G5" s="265">
        <f t="shared" si="0"/>
        <v>313400</v>
      </c>
      <c r="H5" s="265">
        <f t="shared" si="0"/>
        <v>306800</v>
      </c>
      <c r="I5" s="265">
        <f t="shared" si="0"/>
        <v>302200</v>
      </c>
      <c r="J5" s="265">
        <f t="shared" si="0"/>
        <v>293100</v>
      </c>
      <c r="K5" s="265">
        <f t="shared" si="0"/>
        <v>173600</v>
      </c>
      <c r="L5" s="265">
        <f t="shared" si="0"/>
        <v>175800</v>
      </c>
      <c r="M5" s="265">
        <f t="shared" si="0"/>
        <v>145600</v>
      </c>
      <c r="N5" s="265">
        <f t="shared" si="0"/>
        <v>145600</v>
      </c>
      <c r="O5" s="265">
        <f t="shared" si="0"/>
        <v>145600</v>
      </c>
      <c r="P5" s="265">
        <f t="shared" si="0"/>
        <v>47600</v>
      </c>
      <c r="Q5" s="265">
        <f t="shared" si="0"/>
        <v>47600</v>
      </c>
      <c r="R5" s="265">
        <f t="shared" si="0"/>
        <v>47600</v>
      </c>
      <c r="S5" s="265">
        <f t="shared" si="0"/>
        <v>47600</v>
      </c>
      <c r="T5" s="265">
        <f t="shared" si="0"/>
        <v>0</v>
      </c>
    </row>
    <row r="6" spans="1:20" ht="18" customHeight="1">
      <c r="A6" s="266">
        <v>1.1000000000000001</v>
      </c>
      <c r="B6" s="267" t="s">
        <v>984</v>
      </c>
      <c r="C6" s="268"/>
      <c r="D6" s="269"/>
      <c r="E6" s="270">
        <f>IFERROR(D15,0)</f>
        <v>0</v>
      </c>
      <c r="F6" s="270">
        <f t="shared" ref="F6:T6" si="1">IFERROR(E15,0)</f>
        <v>140900</v>
      </c>
      <c r="G6" s="270">
        <f t="shared" si="1"/>
        <v>313400</v>
      </c>
      <c r="H6" s="270">
        <f t="shared" si="1"/>
        <v>161200</v>
      </c>
      <c r="I6" s="270">
        <f t="shared" si="1"/>
        <v>156600</v>
      </c>
      <c r="J6" s="270">
        <f t="shared" si="1"/>
        <v>147500</v>
      </c>
      <c r="K6" s="270">
        <f t="shared" si="1"/>
        <v>28000</v>
      </c>
      <c r="L6" s="270">
        <f t="shared" si="1"/>
        <v>30200</v>
      </c>
      <c r="M6" s="270">
        <f t="shared" si="1"/>
        <v>0</v>
      </c>
      <c r="N6" s="270">
        <f t="shared" si="1"/>
        <v>0</v>
      </c>
      <c r="O6" s="270">
        <f t="shared" si="1"/>
        <v>0</v>
      </c>
      <c r="P6" s="270">
        <f t="shared" si="1"/>
        <v>0</v>
      </c>
      <c r="Q6" s="270">
        <f t="shared" si="1"/>
        <v>0</v>
      </c>
      <c r="R6" s="270">
        <f t="shared" si="1"/>
        <v>0</v>
      </c>
      <c r="S6" s="270">
        <f t="shared" si="1"/>
        <v>0</v>
      </c>
      <c r="T6" s="270">
        <f t="shared" si="1"/>
        <v>0</v>
      </c>
    </row>
    <row r="7" spans="1:20" ht="18" customHeight="1">
      <c r="A7" s="271">
        <v>1.2</v>
      </c>
      <c r="B7" s="272" t="s">
        <v>985</v>
      </c>
      <c r="C7" s="273"/>
      <c r="D7" s="274"/>
      <c r="E7" s="275">
        <f>IFERROR(D16,0)</f>
        <v>0</v>
      </c>
      <c r="F7" s="275">
        <f t="shared" ref="F7:T7" si="2">IFERROR(E16,0)</f>
        <v>0</v>
      </c>
      <c r="G7" s="275">
        <f t="shared" si="2"/>
        <v>0</v>
      </c>
      <c r="H7" s="275">
        <f t="shared" si="2"/>
        <v>145600</v>
      </c>
      <c r="I7" s="275">
        <f t="shared" si="2"/>
        <v>145600</v>
      </c>
      <c r="J7" s="275">
        <f t="shared" si="2"/>
        <v>145600</v>
      </c>
      <c r="K7" s="275">
        <f t="shared" si="2"/>
        <v>145600</v>
      </c>
      <c r="L7" s="275">
        <f t="shared" si="2"/>
        <v>145600</v>
      </c>
      <c r="M7" s="275">
        <f t="shared" si="2"/>
        <v>145600</v>
      </c>
      <c r="N7" s="275">
        <f t="shared" si="2"/>
        <v>145600</v>
      </c>
      <c r="O7" s="275">
        <f t="shared" si="2"/>
        <v>145600</v>
      </c>
      <c r="P7" s="275">
        <f t="shared" si="2"/>
        <v>47600</v>
      </c>
      <c r="Q7" s="275">
        <f t="shared" si="2"/>
        <v>47600</v>
      </c>
      <c r="R7" s="275">
        <f t="shared" si="2"/>
        <v>47600</v>
      </c>
      <c r="S7" s="275">
        <f t="shared" si="2"/>
        <v>47600</v>
      </c>
      <c r="T7" s="275">
        <f t="shared" si="2"/>
        <v>0</v>
      </c>
    </row>
    <row r="8" spans="1:20" ht="18" customHeight="1">
      <c r="A8" s="266">
        <v>2</v>
      </c>
      <c r="B8" s="267" t="s">
        <v>986</v>
      </c>
      <c r="C8" s="268"/>
      <c r="D8" s="269"/>
      <c r="E8" s="276">
        <f>IFERROR(E9+E10,0)</f>
        <v>140900</v>
      </c>
      <c r="F8" s="276">
        <f t="shared" ref="F8:T8" si="3">IFERROR(F9+F10,0)</f>
        <v>172500</v>
      </c>
      <c r="G8" s="276">
        <f t="shared" si="3"/>
        <v>145600</v>
      </c>
      <c r="H8" s="276">
        <f t="shared" si="3"/>
        <v>0</v>
      </c>
      <c r="I8" s="276">
        <f t="shared" si="3"/>
        <v>0</v>
      </c>
      <c r="J8" s="276">
        <f t="shared" si="3"/>
        <v>0</v>
      </c>
      <c r="K8" s="276">
        <f t="shared" si="3"/>
        <v>147800</v>
      </c>
      <c r="L8" s="276">
        <f t="shared" si="3"/>
        <v>0</v>
      </c>
      <c r="M8" s="276">
        <f t="shared" si="3"/>
        <v>0</v>
      </c>
      <c r="N8" s="276">
        <f t="shared" si="3"/>
        <v>0</v>
      </c>
      <c r="O8" s="276">
        <f t="shared" si="3"/>
        <v>47600</v>
      </c>
      <c r="P8" s="276">
        <f t="shared" si="3"/>
        <v>0</v>
      </c>
      <c r="Q8" s="276">
        <f t="shared" si="3"/>
        <v>0</v>
      </c>
      <c r="R8" s="276">
        <f t="shared" si="3"/>
        <v>0</v>
      </c>
      <c r="S8" s="276">
        <f t="shared" si="3"/>
        <v>0</v>
      </c>
      <c r="T8" s="276">
        <f t="shared" si="3"/>
        <v>0</v>
      </c>
    </row>
    <row r="9" spans="1:20" ht="18" customHeight="1">
      <c r="A9" s="271">
        <v>2.1</v>
      </c>
      <c r="B9" s="272" t="s">
        <v>987</v>
      </c>
      <c r="C9" s="273">
        <f>IFERROR(SUM(E9:T9),0)</f>
        <v>315600</v>
      </c>
      <c r="D9" s="274"/>
      <c r="E9" s="275">
        <f>IFERROR(基础运算!E27,0)</f>
        <v>140900</v>
      </c>
      <c r="F9" s="275">
        <f>IFERROR(基础运算!F27,0)</f>
        <v>172500</v>
      </c>
      <c r="G9" s="275">
        <f>IFERROR(基础运算!G27,0)</f>
        <v>0</v>
      </c>
      <c r="H9" s="275">
        <f>IFERROR(基础运算!H27,0)</f>
        <v>0</v>
      </c>
      <c r="I9" s="275">
        <f>IFERROR(基础运算!I27,0)</f>
        <v>0</v>
      </c>
      <c r="J9" s="275">
        <f>IFERROR(基础运算!J27,0)</f>
        <v>0</v>
      </c>
      <c r="K9" s="275">
        <f>IFERROR(基础运算!K27,0)</f>
        <v>2200</v>
      </c>
      <c r="L9" s="275">
        <f>IFERROR(基础运算!L27,0)</f>
        <v>0</v>
      </c>
      <c r="M9" s="275">
        <f>IFERROR(基础运算!M27,0)</f>
        <v>0</v>
      </c>
      <c r="N9" s="275">
        <f>IFERROR(基础运算!N27,0)</f>
        <v>0</v>
      </c>
      <c r="O9" s="275">
        <f>IFERROR(基础运算!O27,0)</f>
        <v>0</v>
      </c>
      <c r="P9" s="275">
        <f>IFERROR(基础运算!P27,0)</f>
        <v>0</v>
      </c>
      <c r="Q9" s="275">
        <f>IFERROR(基础运算!Q27,0)</f>
        <v>0</v>
      </c>
      <c r="R9" s="275">
        <f>IFERROR(基础运算!R27,0)</f>
        <v>0</v>
      </c>
      <c r="S9" s="275">
        <f>IFERROR(基础运算!S27,0)</f>
        <v>0</v>
      </c>
      <c r="T9" s="275">
        <f>IFERROR(基础运算!T27,0)</f>
        <v>0</v>
      </c>
    </row>
    <row r="10" spans="1:20" ht="18" customHeight="1">
      <c r="A10" s="266">
        <v>2.2000000000000002</v>
      </c>
      <c r="B10" s="267" t="s">
        <v>988</v>
      </c>
      <c r="C10" s="268">
        <f>IFERROR(MAX(E10:T10),0)</f>
        <v>145600</v>
      </c>
      <c r="D10" s="269"/>
      <c r="E10" s="270">
        <f>IFERROR(基础运算!E29,0)</f>
        <v>0</v>
      </c>
      <c r="F10" s="270">
        <f>IFERROR(基础运算!F29,0)</f>
        <v>0</v>
      </c>
      <c r="G10" s="270">
        <f>IFERROR(基础运算!G29,0)</f>
        <v>145600</v>
      </c>
      <c r="H10" s="270">
        <f>IFERROR(基础运算!H29,0)</f>
        <v>0</v>
      </c>
      <c r="I10" s="270">
        <f>IFERROR(基础运算!I29,0)</f>
        <v>0</v>
      </c>
      <c r="J10" s="270">
        <f>IFERROR(基础运算!J29,0)</f>
        <v>0</v>
      </c>
      <c r="K10" s="270">
        <f>IFERROR(基础运算!K29,0)</f>
        <v>145600</v>
      </c>
      <c r="L10" s="270">
        <f>IFERROR(基础运算!L29,0)</f>
        <v>0</v>
      </c>
      <c r="M10" s="270">
        <f>IFERROR(基础运算!M29,0)</f>
        <v>0</v>
      </c>
      <c r="N10" s="270">
        <f>IFERROR(基础运算!N29,0)</f>
        <v>0</v>
      </c>
      <c r="O10" s="270">
        <f>IFERROR(基础运算!O29,0)</f>
        <v>47600</v>
      </c>
      <c r="P10" s="270">
        <f>IFERROR(基础运算!P29,0)</f>
        <v>0</v>
      </c>
      <c r="Q10" s="270">
        <f>IFERROR(基础运算!Q29,0)</f>
        <v>0</v>
      </c>
      <c r="R10" s="270">
        <f>IFERROR(基础运算!R29,0)</f>
        <v>0</v>
      </c>
      <c r="S10" s="270">
        <f>IFERROR(基础运算!S29,0)</f>
        <v>0</v>
      </c>
      <c r="T10" s="270">
        <f>IFERROR(基础运算!T29,0)</f>
        <v>0</v>
      </c>
    </row>
    <row r="11" spans="1:20" ht="18" customHeight="1">
      <c r="A11" s="271">
        <v>3</v>
      </c>
      <c r="B11" s="272" t="s">
        <v>989</v>
      </c>
      <c r="C11" s="273">
        <f>IFERROR(SUM(E11:T11),0)</f>
        <v>654400</v>
      </c>
      <c r="D11" s="274"/>
      <c r="E11" s="277">
        <f>IFERROR(E12+E13,0)</f>
        <v>0</v>
      </c>
      <c r="F11" s="277">
        <f t="shared" ref="F11:T11" si="4">IFERROR(F12+F13,0)</f>
        <v>0</v>
      </c>
      <c r="G11" s="277">
        <f t="shared" si="4"/>
        <v>152200</v>
      </c>
      <c r="H11" s="277">
        <f t="shared" si="4"/>
        <v>4600</v>
      </c>
      <c r="I11" s="277">
        <f t="shared" si="4"/>
        <v>9100</v>
      </c>
      <c r="J11" s="277">
        <f t="shared" si="4"/>
        <v>119500</v>
      </c>
      <c r="K11" s="277">
        <f t="shared" si="4"/>
        <v>145600</v>
      </c>
      <c r="L11" s="277">
        <f t="shared" si="4"/>
        <v>30200</v>
      </c>
      <c r="M11" s="277">
        <f t="shared" si="4"/>
        <v>0</v>
      </c>
      <c r="N11" s="277">
        <f t="shared" si="4"/>
        <v>0</v>
      </c>
      <c r="O11" s="277">
        <f t="shared" si="4"/>
        <v>145600</v>
      </c>
      <c r="P11" s="277">
        <f t="shared" si="4"/>
        <v>0</v>
      </c>
      <c r="Q11" s="277">
        <f t="shared" si="4"/>
        <v>0</v>
      </c>
      <c r="R11" s="277">
        <f t="shared" si="4"/>
        <v>0</v>
      </c>
      <c r="S11" s="277">
        <f t="shared" si="4"/>
        <v>47600</v>
      </c>
      <c r="T11" s="277">
        <f t="shared" si="4"/>
        <v>0</v>
      </c>
    </row>
    <row r="12" spans="1:20" ht="18" customHeight="1">
      <c r="A12" s="266">
        <v>3.1</v>
      </c>
      <c r="B12" s="267" t="s">
        <v>990</v>
      </c>
      <c r="C12" s="268">
        <f>IFERROR(SUM(E12:T12),0)</f>
        <v>315600</v>
      </c>
      <c r="D12" s="269"/>
      <c r="E12" s="278">
        <f>IFERROR(基础运算!E37,0)</f>
        <v>0</v>
      </c>
      <c r="F12" s="278">
        <f>IFERROR(基础运算!F37,0)</f>
        <v>0</v>
      </c>
      <c r="G12" s="278">
        <f>IFERROR(基础运算!G37,0)</f>
        <v>152200</v>
      </c>
      <c r="H12" s="278">
        <f>IFERROR(基础运算!H37,0)</f>
        <v>4600</v>
      </c>
      <c r="I12" s="278">
        <f>IFERROR(基础运算!I37,0)</f>
        <v>9100</v>
      </c>
      <c r="J12" s="278">
        <f>IFERROR(基础运算!J37,0)</f>
        <v>119500</v>
      </c>
      <c r="K12" s="278">
        <f>IFERROR(基础运算!K37,0)</f>
        <v>0</v>
      </c>
      <c r="L12" s="278">
        <f>IFERROR(基础运算!L37,0)</f>
        <v>30200</v>
      </c>
      <c r="M12" s="278">
        <f>IFERROR(基础运算!M37,0)</f>
        <v>0</v>
      </c>
      <c r="N12" s="278">
        <f>IFERROR(基础运算!N37,0)</f>
        <v>0</v>
      </c>
      <c r="O12" s="278">
        <f>IFERROR(基础运算!O37,0)</f>
        <v>0</v>
      </c>
      <c r="P12" s="278">
        <f>IFERROR(基础运算!P37,0)</f>
        <v>0</v>
      </c>
      <c r="Q12" s="278">
        <f>IFERROR(基础运算!Q37,0)</f>
        <v>0</v>
      </c>
      <c r="R12" s="278">
        <f>IFERROR(基础运算!R37,0)</f>
        <v>0</v>
      </c>
      <c r="S12" s="278">
        <f>IFERROR(基础运算!S37,0)</f>
        <v>0</v>
      </c>
      <c r="T12" s="278">
        <f>IFERROR(基础运算!T37,0)</f>
        <v>0</v>
      </c>
    </row>
    <row r="13" spans="1:20" ht="18" customHeight="1">
      <c r="A13" s="271">
        <v>3.2</v>
      </c>
      <c r="B13" s="272" t="s">
        <v>991</v>
      </c>
      <c r="C13" s="273">
        <f>IFERROR(MAX(E13:T13),0)</f>
        <v>145600</v>
      </c>
      <c r="D13" s="274"/>
      <c r="E13" s="279">
        <f>IFERROR(基础运算!E38,0)</f>
        <v>0</v>
      </c>
      <c r="F13" s="279">
        <f>IFERROR(基础运算!F38,0)</f>
        <v>0</v>
      </c>
      <c r="G13" s="279">
        <f>IFERROR(基础运算!G38,0)</f>
        <v>0</v>
      </c>
      <c r="H13" s="279">
        <f>IFERROR(基础运算!H38,0)</f>
        <v>0</v>
      </c>
      <c r="I13" s="279">
        <f>IFERROR(基础运算!I38,0)</f>
        <v>0</v>
      </c>
      <c r="J13" s="279">
        <f>IFERROR(基础运算!J38,0)</f>
        <v>0</v>
      </c>
      <c r="K13" s="279">
        <f>IFERROR(基础运算!K38,0)</f>
        <v>145600</v>
      </c>
      <c r="L13" s="279">
        <f>IFERROR(基础运算!L38,0)</f>
        <v>0</v>
      </c>
      <c r="M13" s="279">
        <f>IFERROR(基础运算!M38,0)</f>
        <v>0</v>
      </c>
      <c r="N13" s="279">
        <f>IFERROR(基础运算!N38,0)</f>
        <v>0</v>
      </c>
      <c r="O13" s="279">
        <f>IFERROR(基础运算!O38,0)</f>
        <v>145600</v>
      </c>
      <c r="P13" s="279">
        <f>IFERROR(基础运算!P38,0)</f>
        <v>0</v>
      </c>
      <c r="Q13" s="279">
        <f>IFERROR(基础运算!Q38,0)</f>
        <v>0</v>
      </c>
      <c r="R13" s="279">
        <f>IFERROR(基础运算!R38,0)</f>
        <v>0</v>
      </c>
      <c r="S13" s="279">
        <f>IFERROR(基础运算!S38,0)</f>
        <v>47600</v>
      </c>
      <c r="T13" s="279">
        <f>IFERROR(基础运算!T38,0)</f>
        <v>0</v>
      </c>
    </row>
    <row r="14" spans="1:20" ht="18" customHeight="1">
      <c r="A14" s="266">
        <v>4</v>
      </c>
      <c r="B14" s="267" t="s">
        <v>992</v>
      </c>
      <c r="C14" s="268"/>
      <c r="D14" s="269"/>
      <c r="E14" s="276">
        <f>IFERROR(E15+E16,0)</f>
        <v>140900</v>
      </c>
      <c r="F14" s="276">
        <f t="shared" ref="F14:T14" si="5">IFERROR(F15+F16,0)</f>
        <v>313400</v>
      </c>
      <c r="G14" s="276">
        <f t="shared" si="5"/>
        <v>306800</v>
      </c>
      <c r="H14" s="276">
        <f t="shared" si="5"/>
        <v>302200</v>
      </c>
      <c r="I14" s="276">
        <f t="shared" si="5"/>
        <v>293100</v>
      </c>
      <c r="J14" s="276">
        <f t="shared" si="5"/>
        <v>173600</v>
      </c>
      <c r="K14" s="276">
        <f t="shared" si="5"/>
        <v>175800</v>
      </c>
      <c r="L14" s="276">
        <f t="shared" si="5"/>
        <v>145600</v>
      </c>
      <c r="M14" s="276">
        <f t="shared" si="5"/>
        <v>145600</v>
      </c>
      <c r="N14" s="276">
        <f t="shared" si="5"/>
        <v>145600</v>
      </c>
      <c r="O14" s="276">
        <f t="shared" si="5"/>
        <v>47600</v>
      </c>
      <c r="P14" s="276">
        <f t="shared" si="5"/>
        <v>47600</v>
      </c>
      <c r="Q14" s="276">
        <f t="shared" si="5"/>
        <v>47600</v>
      </c>
      <c r="R14" s="276">
        <f t="shared" si="5"/>
        <v>47600</v>
      </c>
      <c r="S14" s="276">
        <f t="shared" si="5"/>
        <v>0</v>
      </c>
      <c r="T14" s="276">
        <f t="shared" si="5"/>
        <v>0</v>
      </c>
    </row>
    <row r="15" spans="1:20" ht="18" customHeight="1">
      <c r="A15" s="271">
        <v>4.0999999999999996</v>
      </c>
      <c r="B15" s="272" t="s">
        <v>993</v>
      </c>
      <c r="C15" s="273"/>
      <c r="D15" s="274"/>
      <c r="E15" s="279">
        <f>IFERROR(E6+E9-E12,0)</f>
        <v>140900</v>
      </c>
      <c r="F15" s="279">
        <f t="shared" ref="F15:T15" si="6">IFERROR(F6+F9-F12,0)</f>
        <v>313400</v>
      </c>
      <c r="G15" s="279">
        <f t="shared" si="6"/>
        <v>161200</v>
      </c>
      <c r="H15" s="279">
        <f t="shared" si="6"/>
        <v>156600</v>
      </c>
      <c r="I15" s="279">
        <f t="shared" si="6"/>
        <v>147500</v>
      </c>
      <c r="J15" s="279">
        <f t="shared" si="6"/>
        <v>28000</v>
      </c>
      <c r="K15" s="279">
        <f t="shared" si="6"/>
        <v>30200</v>
      </c>
      <c r="L15" s="279">
        <f t="shared" si="6"/>
        <v>0</v>
      </c>
      <c r="M15" s="279">
        <f t="shared" si="6"/>
        <v>0</v>
      </c>
      <c r="N15" s="279">
        <f t="shared" si="6"/>
        <v>0</v>
      </c>
      <c r="O15" s="279">
        <f t="shared" si="6"/>
        <v>0</v>
      </c>
      <c r="P15" s="279">
        <f t="shared" si="6"/>
        <v>0</v>
      </c>
      <c r="Q15" s="279">
        <f t="shared" si="6"/>
        <v>0</v>
      </c>
      <c r="R15" s="279">
        <f t="shared" si="6"/>
        <v>0</v>
      </c>
      <c r="S15" s="279">
        <f t="shared" si="6"/>
        <v>0</v>
      </c>
      <c r="T15" s="279">
        <f t="shared" si="6"/>
        <v>0</v>
      </c>
    </row>
    <row r="16" spans="1:20" ht="18" customHeight="1">
      <c r="A16" s="266">
        <v>4.2</v>
      </c>
      <c r="B16" s="267" t="s">
        <v>994</v>
      </c>
      <c r="C16" s="268"/>
      <c r="D16" s="269"/>
      <c r="E16" s="278">
        <f>IFERROR(E7+E10-E13,0)</f>
        <v>0</v>
      </c>
      <c r="F16" s="278">
        <f t="shared" ref="F16:T16" si="7">IFERROR(F7+F10-F13,0)</f>
        <v>0</v>
      </c>
      <c r="G16" s="278">
        <f t="shared" si="7"/>
        <v>145600</v>
      </c>
      <c r="H16" s="278">
        <f t="shared" si="7"/>
        <v>145600</v>
      </c>
      <c r="I16" s="278">
        <f t="shared" si="7"/>
        <v>145600</v>
      </c>
      <c r="J16" s="278">
        <f t="shared" si="7"/>
        <v>145600</v>
      </c>
      <c r="K16" s="278">
        <f t="shared" si="7"/>
        <v>145600</v>
      </c>
      <c r="L16" s="278">
        <f t="shared" si="7"/>
        <v>145600</v>
      </c>
      <c r="M16" s="278">
        <f t="shared" si="7"/>
        <v>145600</v>
      </c>
      <c r="N16" s="278">
        <f t="shared" si="7"/>
        <v>145600</v>
      </c>
      <c r="O16" s="278">
        <f t="shared" si="7"/>
        <v>47600</v>
      </c>
      <c r="P16" s="278">
        <f t="shared" si="7"/>
        <v>47600</v>
      </c>
      <c r="Q16" s="278">
        <f t="shared" si="7"/>
        <v>47600</v>
      </c>
      <c r="R16" s="278">
        <f t="shared" si="7"/>
        <v>47600</v>
      </c>
      <c r="S16" s="278">
        <f t="shared" si="7"/>
        <v>0</v>
      </c>
      <c r="T16" s="278">
        <f t="shared" si="7"/>
        <v>0</v>
      </c>
    </row>
    <row r="17" spans="1:20" ht="18" customHeight="1">
      <c r="A17" s="271">
        <v>5</v>
      </c>
      <c r="B17" s="272" t="s">
        <v>995</v>
      </c>
      <c r="C17" s="273">
        <f>IFERROR(SUM(E17:T17),0)</f>
        <v>26149.75</v>
      </c>
      <c r="D17" s="274"/>
      <c r="E17" s="277">
        <f>IFERROR(E18+E19,0)</f>
        <v>1937.375</v>
      </c>
      <c r="F17" s="277">
        <f t="shared" ref="F17:T17" si="8">IFERROR(F18+F19,0)</f>
        <v>4309.25</v>
      </c>
      <c r="G17" s="277">
        <f t="shared" si="8"/>
        <v>3581.5</v>
      </c>
      <c r="H17" s="277">
        <f t="shared" si="8"/>
        <v>3518.25</v>
      </c>
      <c r="I17" s="277">
        <f t="shared" si="8"/>
        <v>3393.125</v>
      </c>
      <c r="J17" s="277">
        <f t="shared" si="8"/>
        <v>1750</v>
      </c>
      <c r="K17" s="277">
        <f t="shared" si="8"/>
        <v>1780.25</v>
      </c>
      <c r="L17" s="277">
        <f t="shared" si="8"/>
        <v>1365</v>
      </c>
      <c r="M17" s="277">
        <f t="shared" si="8"/>
        <v>1365</v>
      </c>
      <c r="N17" s="277">
        <f t="shared" si="8"/>
        <v>1365</v>
      </c>
      <c r="O17" s="277">
        <f t="shared" si="8"/>
        <v>446.25</v>
      </c>
      <c r="P17" s="277">
        <f t="shared" si="8"/>
        <v>446.25</v>
      </c>
      <c r="Q17" s="277">
        <f t="shared" si="8"/>
        <v>446.25</v>
      </c>
      <c r="R17" s="277">
        <f t="shared" si="8"/>
        <v>446.25</v>
      </c>
      <c r="S17" s="277">
        <f t="shared" si="8"/>
        <v>0</v>
      </c>
      <c r="T17" s="277">
        <f t="shared" si="8"/>
        <v>0</v>
      </c>
    </row>
    <row r="18" spans="1:20" ht="18" customHeight="1">
      <c r="A18" s="266">
        <v>5.0999999999999996</v>
      </c>
      <c r="B18" s="267" t="s">
        <v>996</v>
      </c>
      <c r="C18" s="268">
        <f>IFERROR(SUM(E18:T18),0)</f>
        <v>13444.75</v>
      </c>
      <c r="D18" s="269"/>
      <c r="E18" s="278">
        <f>IFERROR(基础运算!E33,0)</f>
        <v>1937.375</v>
      </c>
      <c r="F18" s="278">
        <f>IFERROR(基础运算!F33,0)</f>
        <v>4309.25</v>
      </c>
      <c r="G18" s="278">
        <f>IFERROR(基础运算!G33,0)</f>
        <v>2216.5</v>
      </c>
      <c r="H18" s="278">
        <f>IFERROR(基础运算!H33,0)</f>
        <v>2153.25</v>
      </c>
      <c r="I18" s="278">
        <f>IFERROR(基础运算!I33,0)</f>
        <v>2028.125</v>
      </c>
      <c r="J18" s="278">
        <f>IFERROR(基础运算!J33,0)</f>
        <v>385</v>
      </c>
      <c r="K18" s="278">
        <f>IFERROR(基础运算!K33,0)</f>
        <v>415.25</v>
      </c>
      <c r="L18" s="278">
        <f>IFERROR(基础运算!L33,0)</f>
        <v>0</v>
      </c>
      <c r="M18" s="278">
        <f>IFERROR(基础运算!M33,0)</f>
        <v>0</v>
      </c>
      <c r="N18" s="278">
        <f>IFERROR(基础运算!N33,0)</f>
        <v>0</v>
      </c>
      <c r="O18" s="278">
        <f>IFERROR(基础运算!O33,0)</f>
        <v>0</v>
      </c>
      <c r="P18" s="278">
        <f>IFERROR(基础运算!P33,0)</f>
        <v>0</v>
      </c>
      <c r="Q18" s="278">
        <f>IFERROR(基础运算!Q33,0)</f>
        <v>0</v>
      </c>
      <c r="R18" s="278">
        <f>IFERROR(基础运算!R33,0)</f>
        <v>0</v>
      </c>
      <c r="S18" s="278">
        <f>IFERROR(基础运算!S33,0)</f>
        <v>0</v>
      </c>
      <c r="T18" s="278">
        <f>IFERROR(基础运算!T33,0)</f>
        <v>0</v>
      </c>
    </row>
    <row r="19" spans="1:20" ht="18" customHeight="1">
      <c r="A19" s="280">
        <v>5.2</v>
      </c>
      <c r="B19" s="281" t="s">
        <v>997</v>
      </c>
      <c r="C19" s="282">
        <f>IFERROR(SUM(E19:T19),0)</f>
        <v>12705</v>
      </c>
      <c r="D19" s="283"/>
      <c r="E19" s="284">
        <f>IFERROR(基础运算!E34,0)</f>
        <v>0</v>
      </c>
      <c r="F19" s="284">
        <f>IFERROR(基础运算!F34,0)</f>
        <v>0</v>
      </c>
      <c r="G19" s="284">
        <f>IFERROR(基础运算!G34,0)</f>
        <v>1365</v>
      </c>
      <c r="H19" s="284">
        <f>IFERROR(基础运算!H34,0)</f>
        <v>1365</v>
      </c>
      <c r="I19" s="284">
        <f>IFERROR(基础运算!I34,0)</f>
        <v>1365</v>
      </c>
      <c r="J19" s="284">
        <f>IFERROR(基础运算!J34,0)</f>
        <v>1365</v>
      </c>
      <c r="K19" s="284">
        <f>IFERROR(基础运算!K34,0)</f>
        <v>1365</v>
      </c>
      <c r="L19" s="284">
        <f>IFERROR(基础运算!L34,0)</f>
        <v>1365</v>
      </c>
      <c r="M19" s="284">
        <f>IFERROR(基础运算!M34,0)</f>
        <v>1365</v>
      </c>
      <c r="N19" s="284">
        <f>IFERROR(基础运算!N34,0)</f>
        <v>1365</v>
      </c>
      <c r="O19" s="284">
        <f>IFERROR(基础运算!O34,0)</f>
        <v>446.25</v>
      </c>
      <c r="P19" s="284">
        <f>IFERROR(基础运算!P34,0)</f>
        <v>446.25</v>
      </c>
      <c r="Q19" s="284">
        <f>IFERROR(基础运算!Q34,0)</f>
        <v>446.25</v>
      </c>
      <c r="R19" s="284">
        <f>IFERROR(基础运算!R34,0)</f>
        <v>446.25</v>
      </c>
      <c r="S19" s="284">
        <f>IFERROR(基础运算!S34,0)</f>
        <v>0</v>
      </c>
      <c r="T19" s="284">
        <f>IFERROR(基础运算!T34,0)</f>
        <v>0</v>
      </c>
    </row>
  </sheetData>
  <mergeCells count="8">
    <mergeCell ref="A1:D2"/>
    <mergeCell ref="E3:H3"/>
    <mergeCell ref="I3:L3"/>
    <mergeCell ref="M3:P3"/>
    <mergeCell ref="Q3:T3"/>
    <mergeCell ref="A3:A4"/>
    <mergeCell ref="B3:B4"/>
    <mergeCell ref="C3:C4"/>
  </mergeCells>
  <phoneticPr fontId="43" type="noConversion"/>
  <pageMargins left="0.7" right="0.7" top="0.75" bottom="0.75" header="0.3" footer="0.3"/>
  <pageSetup paperSize="8" orientation="landscape" horizontalDpi="1200" verticalDpi="12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showGridLines="0" workbookViewId="0">
      <pane xSplit="3" ySplit="3" topLeftCell="D4" activePane="bottomRight" state="frozen"/>
      <selection pane="topRight"/>
      <selection pane="bottomLeft"/>
      <selection pane="bottomRight" activeCell="G18" sqref="G18"/>
    </sheetView>
  </sheetViews>
  <sheetFormatPr defaultColWidth="9" defaultRowHeight="13.5"/>
  <cols>
    <col min="1" max="1" width="4.5" customWidth="1"/>
    <col min="2" max="2" width="32.875" customWidth="1"/>
    <col min="3" max="3" width="18.625" customWidth="1"/>
    <col min="4" max="7" width="16.625" customWidth="1"/>
  </cols>
  <sheetData>
    <row r="1" spans="1:7" s="1" customFormat="1" ht="28.15" customHeight="1">
      <c r="A1" s="1275" t="s">
        <v>998</v>
      </c>
      <c r="B1" s="1095"/>
      <c r="D1" s="194"/>
    </row>
    <row r="2" spans="1:7" ht="28.15" customHeight="1">
      <c r="A2" s="1096"/>
      <c r="B2" s="1096"/>
      <c r="C2" s="195"/>
      <c r="D2" s="196" t="s">
        <v>912</v>
      </c>
    </row>
    <row r="3" spans="1:7" s="1" customFormat="1" ht="18" customHeight="1">
      <c r="A3" s="197" t="s">
        <v>448</v>
      </c>
      <c r="B3" s="198" t="s">
        <v>272</v>
      </c>
      <c r="C3" s="198" t="s">
        <v>999</v>
      </c>
      <c r="D3" s="199" t="s">
        <v>180</v>
      </c>
      <c r="E3" s="200" t="s">
        <v>181</v>
      </c>
      <c r="F3" s="200" t="s">
        <v>182</v>
      </c>
      <c r="G3" s="201" t="s">
        <v>183</v>
      </c>
    </row>
    <row r="4" spans="1:7" ht="18" customHeight="1">
      <c r="A4" s="202">
        <v>1</v>
      </c>
      <c r="B4" s="203" t="s">
        <v>1000</v>
      </c>
      <c r="C4" s="204">
        <f>IFERROR(SUM(D4:G4),0)</f>
        <v>160785.66012000004</v>
      </c>
      <c r="D4" s="205">
        <f>IFERROR(D26+D27+D28+D29+D30+D31,0)</f>
        <v>0</v>
      </c>
      <c r="E4" s="206">
        <f>IFERROR(E26+E27+E28+E29+E30+E31,0)</f>
        <v>0</v>
      </c>
      <c r="F4" s="206">
        <f>IFERROR(F26+F27+F28+F29+F30+F31,0)</f>
        <v>131363.78746600004</v>
      </c>
      <c r="G4" s="207">
        <f>IFERROR(G26+G27+G28+G29+G30+G31,0)</f>
        <v>29421.872653999999</v>
      </c>
    </row>
    <row r="5" spans="1:7" ht="18" customHeight="1">
      <c r="A5" s="208">
        <v>2</v>
      </c>
      <c r="B5" s="209" t="s">
        <v>1001</v>
      </c>
      <c r="C5" s="210">
        <f>IFERROR(C8/C4*10000,0)</f>
        <v>27873.92340191939</v>
      </c>
      <c r="D5" s="211">
        <f>IFERROR(D8/D4*10000,0)</f>
        <v>0</v>
      </c>
      <c r="E5" s="212">
        <f>IFERROR(E8/E4*10000,0)</f>
        <v>0</v>
      </c>
      <c r="F5" s="212">
        <f>IFERROR(F8/F4*10000,0)</f>
        <v>32196.173358708886</v>
      </c>
      <c r="G5" s="213">
        <f>IFERROR(G8/G4*10000,0)</f>
        <v>8575.7933550737744</v>
      </c>
    </row>
    <row r="6" spans="1:7" ht="18" customHeight="1">
      <c r="A6" s="214">
        <v>3</v>
      </c>
      <c r="B6" s="215" t="s">
        <v>1002</v>
      </c>
      <c r="C6" s="216">
        <f>IFERROR(C55/(C54*C53)*10000,0)</f>
        <v>1096.4490079106224</v>
      </c>
      <c r="D6" s="217">
        <f>IFERROR(D55/(D54*D53)*10000,0)</f>
        <v>0</v>
      </c>
      <c r="E6" s="218">
        <f>IFERROR(E55/(E54*E53)*10000,0)</f>
        <v>0</v>
      </c>
      <c r="F6" s="218">
        <f>IFERROR(F55/(F54*F53)*10000,0)</f>
        <v>1096.4490079106226</v>
      </c>
      <c r="G6" s="219">
        <f>IFERROR(G55/(G54*G53)*10000,0)</f>
        <v>1096.4490079106224</v>
      </c>
    </row>
    <row r="7" spans="1:7" ht="18" customHeight="1">
      <c r="A7" s="208">
        <v>4</v>
      </c>
      <c r="B7" s="209" t="s">
        <v>1003</v>
      </c>
      <c r="C7" s="210">
        <f>IFERROR(C9/C4*10000,0)</f>
        <v>24974.716131241163</v>
      </c>
      <c r="D7" s="211">
        <f>IFERROR(D9/D4*10000,0)</f>
        <v>0</v>
      </c>
      <c r="E7" s="212">
        <f>IFERROR(E9/E4*10000,0)</f>
        <v>0</v>
      </c>
      <c r="F7" s="212">
        <f>IFERROR(F9/F4*10000,0)</f>
        <v>28249.934555930373</v>
      </c>
      <c r="G7" s="213">
        <f>IFERROR(G9/G4*10000,0)</f>
        <v>5116.5436160868576</v>
      </c>
    </row>
    <row r="8" spans="1:7" ht="18" customHeight="1">
      <c r="A8" s="214">
        <v>5</v>
      </c>
      <c r="B8" s="1030" t="s">
        <v>1004</v>
      </c>
      <c r="C8" s="221">
        <f t="shared" ref="C8:C19" si="0">IFERROR(SUM(D8:G8),0)</f>
        <v>448172.71743119264</v>
      </c>
      <c r="D8" s="222">
        <f>IFERROR(D32+D33+D34+D35+D36+D37,0)</f>
        <v>0</v>
      </c>
      <c r="E8" s="218">
        <f>IFERROR(E32+E33+E34+E35+E36+E37,0)</f>
        <v>0</v>
      </c>
      <c r="F8" s="218">
        <f>IFERROR(F32+F33+F34+F35+F36+F37,0)</f>
        <v>422941.12743119267</v>
      </c>
      <c r="G8" s="219">
        <f>IFERROR(G32+G33+G34+G35+G36+G37,0)</f>
        <v>25231.589999999997</v>
      </c>
    </row>
    <row r="9" spans="1:7" ht="18" customHeight="1">
      <c r="A9" s="208">
        <v>6</v>
      </c>
      <c r="B9" s="223" t="s">
        <v>1005</v>
      </c>
      <c r="C9" s="224">
        <f t="shared" si="0"/>
        <v>401557.62194712245</v>
      </c>
      <c r="D9" s="225">
        <f>IFERROR(D38+D39+D40+D41+D42+D43+D61+D25,0)</f>
        <v>15401.952583643251</v>
      </c>
      <c r="E9" s="212">
        <f>IFERROR(E38+E39+E40+E41+E42+E43+E61+E25,0)</f>
        <v>0</v>
      </c>
      <c r="F9" s="212">
        <f>IFERROR(F38+F39+F40+F41+F42+F43+F61+F25,0)</f>
        <v>371101.83989336475</v>
      </c>
      <c r="G9" s="213">
        <f>IFERROR(G38+G39+G40+G41+G42+G43+G61+G25,0)</f>
        <v>15053.829470114419</v>
      </c>
    </row>
    <row r="10" spans="1:7" ht="18" customHeight="1">
      <c r="A10" s="214">
        <v>7</v>
      </c>
      <c r="B10" s="226" t="s">
        <v>1006</v>
      </c>
      <c r="C10" s="227">
        <f t="shared" si="0"/>
        <v>25257.25</v>
      </c>
      <c r="D10" s="222">
        <f>IFERROR(D$21,0)</f>
        <v>0</v>
      </c>
      <c r="E10" s="218">
        <f>IFERROR(E$21,0)</f>
        <v>0</v>
      </c>
      <c r="F10" s="218">
        <f>IFERROR(F$21,0)</f>
        <v>25257.25</v>
      </c>
      <c r="G10" s="219">
        <f>IFERROR(G$21,0)</f>
        <v>0</v>
      </c>
    </row>
    <row r="11" spans="1:7" ht="18" customHeight="1">
      <c r="A11" s="208">
        <v>8</v>
      </c>
      <c r="B11" s="223" t="s">
        <v>1007</v>
      </c>
      <c r="C11" s="224">
        <f t="shared" si="0"/>
        <v>1825.2147782983266</v>
      </c>
      <c r="D11" s="228">
        <f>IFERROR((成本构成!H83+成本构成!H74+成本构成!H77)/$C4*D4,0)</f>
        <v>0</v>
      </c>
      <c r="E11" s="212">
        <f>IFERROR((成本构成!H83+成本构成!H74+成本构成!H77)/$C4*E4,0)</f>
        <v>0</v>
      </c>
      <c r="F11" s="212">
        <f>IFERROR((成本构成!H83+成本构成!H74+成本构成!H77)/$C4*F4,0)</f>
        <v>1491.2220781208787</v>
      </c>
      <c r="G11" s="213">
        <f>IFERROR((成本构成!H83+成本构成!H74+成本构成!H77)/$C4*G4,0)</f>
        <v>333.99270017744783</v>
      </c>
    </row>
    <row r="12" spans="1:7" ht="18" customHeight="1">
      <c r="A12" s="214">
        <v>9</v>
      </c>
      <c r="B12" s="226" t="s">
        <v>1008</v>
      </c>
      <c r="C12" s="227">
        <f t="shared" si="0"/>
        <v>12434.569957019216</v>
      </c>
      <c r="D12" s="229">
        <f>IFERROR(SUM(基础运算!$E$16:'基础运算'!$H$16)*成本构成!H71/成本构成!F71,0)</f>
        <v>2806.1166332475827</v>
      </c>
      <c r="E12" s="218">
        <f>IFERROR(SUM(基础运算!$I$16:'基础运算'!$L$16)*成本构成!H71/成本构成!F71,0)</f>
        <v>5842.407348978656</v>
      </c>
      <c r="F12" s="218">
        <f>IFERROR(SUM(基础运算!$M$16:'基础运算'!$P$16)*成本构成!H71/成本构成!F71,0)</f>
        <v>3191.7768934633755</v>
      </c>
      <c r="G12" s="219">
        <f>IFERROR(SUM(基础运算!$Q$16:'基础运算'!$T$16)*成本构成!H71/成本构成!F71,0)</f>
        <v>594.26908132960148</v>
      </c>
    </row>
    <row r="13" spans="1:7" ht="18" customHeight="1">
      <c r="A13" s="208">
        <v>10</v>
      </c>
      <c r="B13" s="223" t="s">
        <v>1009</v>
      </c>
      <c r="C13" s="224">
        <f t="shared" si="0"/>
        <v>4885.0826200000001</v>
      </c>
      <c r="D13" s="228">
        <f>IFERROR(SUM(基础运算!$E$14:'基础运算'!$H$14)*成本构成!H69/成本构成!F69,0)</f>
        <v>1221.270655</v>
      </c>
      <c r="E13" s="212">
        <f>IFERROR(SUM(基础运算!$I$14:'基础运算'!$L$14)*成本构成!H69/成本构成!F69,0)</f>
        <v>1221.270655</v>
      </c>
      <c r="F13" s="212">
        <f>IFERROR(SUM(基础运算!$M$14:'基础运算'!$P$14)*成本构成!H69/成本构成!F69,0)</f>
        <v>1221.270655</v>
      </c>
      <c r="G13" s="213">
        <f>IFERROR(SUM(基础运算!$Q$14:'基础运算'!$T$14)*成本构成!H69/成本构成!F69,0)</f>
        <v>1221.270655</v>
      </c>
    </row>
    <row r="14" spans="1:7" ht="18" customHeight="1">
      <c r="A14" s="214">
        <v>11</v>
      </c>
      <c r="B14" s="226" t="s">
        <v>1010</v>
      </c>
      <c r="C14" s="227">
        <f t="shared" si="0"/>
        <v>892.5</v>
      </c>
      <c r="D14" s="222">
        <f>IFERROR(IF(SUM($D10:D10)&lt;D20,0,IF(D10=0,D19,SUM($D19:D19)-D20)),0)</f>
        <v>0</v>
      </c>
      <c r="E14" s="218">
        <f>IFERROR(IF(SUM($D10:E10)&lt;E20,0,IF(E10=0,E19,SUM($D19:E19)-E20)),0)</f>
        <v>0</v>
      </c>
      <c r="F14" s="218">
        <f>IFERROR(IF(SUM($D10:F10)&lt;F20,0,IF(F10=0,F19,SUM($D19:F19)-F20)),0)</f>
        <v>0</v>
      </c>
      <c r="G14" s="219">
        <f>IFERROR(IF(SUM($D10:G10)&lt;G20,0,IF(G10=0,G19,SUM($D19:G19)-G20)),0)</f>
        <v>892.5</v>
      </c>
    </row>
    <row r="15" spans="1:7" ht="18" customHeight="1">
      <c r="A15" s="208">
        <v>12</v>
      </c>
      <c r="B15" s="1031" t="s">
        <v>1011</v>
      </c>
      <c r="C15" s="231">
        <f t="shared" si="0"/>
        <v>26577.728128752686</v>
      </c>
      <c r="D15" s="228">
        <f>IFERROR(D8-D9-D11-D12-D13-D14,0)</f>
        <v>-19429.339871890836</v>
      </c>
      <c r="E15" s="212">
        <f>IFERROR(E8-E9-E11-E12-E13-E14,0)</f>
        <v>-7063.6780039786563</v>
      </c>
      <c r="F15" s="212">
        <f>IFERROR(F8-F9-F11-F12-F13-F14,0)</f>
        <v>45935.017911243653</v>
      </c>
      <c r="G15" s="213">
        <f>IFERROR(G8-G9-G11-G12-G13-G14,0)</f>
        <v>7135.7280933785278</v>
      </c>
    </row>
    <row r="16" spans="1:7" ht="18" customHeight="1">
      <c r="A16" s="214">
        <v>13</v>
      </c>
      <c r="B16" s="226" t="s">
        <v>1012</v>
      </c>
      <c r="C16" s="227">
        <f t="shared" si="0"/>
        <v>8621.5533734938399</v>
      </c>
      <c r="D16" s="229">
        <f>IFERROR(IF(AND(SUM($D$15:D$15)&gt;0,D$15&lt;0),0,所得税税率*D$15)+D23,0)</f>
        <v>-4857.3349679727089</v>
      </c>
      <c r="E16" s="218">
        <f>IFERROR(IF(AND(SUM($D$15:E$15)&gt;0,E$15&lt;0),0,所得税税率*E$15)+E23,0)</f>
        <v>-1765.9195009946641</v>
      </c>
      <c r="F16" s="218">
        <f>IFERROR(IF(AND(SUM($D$15:F$15)&gt;0,F$15&lt;0),0,所得税税率*F$15)+F23,0)</f>
        <v>13460.875819116582</v>
      </c>
      <c r="G16" s="219">
        <f>IFERROR(IF(AND(SUM($D$15:G$15)&gt;0,G$15&lt;0),0,所得税税率*G$15)+G23,0)</f>
        <v>1783.9320233446319</v>
      </c>
    </row>
    <row r="17" spans="1:7" ht="18" customHeight="1">
      <c r="A17" s="208">
        <v>14</v>
      </c>
      <c r="B17" s="230" t="s">
        <v>1013</v>
      </c>
      <c r="C17" s="231">
        <f t="shared" si="0"/>
        <v>17956.174755258846</v>
      </c>
      <c r="D17" s="228">
        <f>IFERROR(D15-D16,0)</f>
        <v>-14572.004903918127</v>
      </c>
      <c r="E17" s="212">
        <f>IFERROR(E15-E16,0)</f>
        <v>-5297.758502983992</v>
      </c>
      <c r="F17" s="212">
        <f>IFERROR(F15-F16,0)</f>
        <v>32474.142092127069</v>
      </c>
      <c r="G17" s="213">
        <f>IFERROR(G15-G16,0)</f>
        <v>5351.7960700338954</v>
      </c>
    </row>
    <row r="18" spans="1:7" ht="18" customHeight="1">
      <c r="A18" s="214">
        <v>15</v>
      </c>
      <c r="B18" s="220" t="s">
        <v>1014</v>
      </c>
      <c r="C18" s="221">
        <f t="shared" si="0"/>
        <v>17956.174755258846</v>
      </c>
      <c r="D18" s="229">
        <f>IFERROR(D17*100%,0)</f>
        <v>-14572.004903918127</v>
      </c>
      <c r="E18" s="218">
        <f>IFERROR(E17*100%,0)</f>
        <v>-5297.758502983992</v>
      </c>
      <c r="F18" s="218">
        <f>IFERROR(F17*100%,0)</f>
        <v>32474.142092127069</v>
      </c>
      <c r="G18" s="219">
        <f>IFERROR(G17*100%,0)</f>
        <v>5351.7960700338954</v>
      </c>
    </row>
    <row r="19" spans="1:7" ht="18" customHeight="1">
      <c r="A19" s="232" t="s">
        <v>1015</v>
      </c>
      <c r="B19" s="223" t="s">
        <v>1016</v>
      </c>
      <c r="C19" s="233">
        <f t="shared" si="0"/>
        <v>26149.75</v>
      </c>
      <c r="D19" s="228">
        <f>IFERROR(SUM(基础运算!$E$15:'基础运算'!$H$15),0)</f>
        <v>13346.375</v>
      </c>
      <c r="E19" s="212">
        <f>IFERROR(SUM(基础运算!$I$15:'基础运算'!$L$15),0)</f>
        <v>8288.375</v>
      </c>
      <c r="F19" s="212">
        <f>IFERROR(SUM(基础运算!$M$15:'基础运算'!$P$15),0)</f>
        <v>3622.5</v>
      </c>
      <c r="G19" s="213">
        <f>IFERROR(SUM(基础运算!$Q$15:'基础运算'!$T$15),0)</f>
        <v>892.5</v>
      </c>
    </row>
    <row r="20" spans="1:7" ht="18" customHeight="1">
      <c r="A20" s="234" t="s">
        <v>1017</v>
      </c>
      <c r="B20" s="226" t="s">
        <v>1018</v>
      </c>
      <c r="C20" s="235">
        <f>IFERROR(D20,0)</f>
        <v>25257.25</v>
      </c>
      <c r="D20" s="229">
        <f>IFERROR(SUM(基础运算!$E$15:'基础运算'!$P$15),0)</f>
        <v>25257.25</v>
      </c>
      <c r="E20" s="218">
        <f>IFERROR(SUM(基础运算!$E$15:'基础运算'!$P$15),0)</f>
        <v>25257.25</v>
      </c>
      <c r="F20" s="218">
        <f>IFERROR(SUM(基础运算!$E$15:'基础运算'!$P$15),0)</f>
        <v>25257.25</v>
      </c>
      <c r="G20" s="219">
        <f>IFERROR(SUM(基础运算!$E$15:'基础运算'!$P$15),0)</f>
        <v>25257.25</v>
      </c>
    </row>
    <row r="21" spans="1:7" ht="18" customHeight="1">
      <c r="A21" s="232" t="s">
        <v>1019</v>
      </c>
      <c r="B21" s="223" t="s">
        <v>1020</v>
      </c>
      <c r="C21" s="233">
        <f t="shared" ref="C21:C43" si="1">IFERROR(SUM(D21:G21),0)</f>
        <v>25257.25</v>
      </c>
      <c r="D21" s="228">
        <f>IFERROR(IF(COLUMN()&lt;6,0,IF(COLUMN()=6,D20,0)),0)</f>
        <v>0</v>
      </c>
      <c r="E21" s="212">
        <f>IFERROR(IF(COLUMN()&lt;6,0,IF(COLUMN()=6,E20,0)),0)</f>
        <v>0</v>
      </c>
      <c r="F21" s="212">
        <f>IFERROR(IF(COLUMN()&lt;6,0,IF(COLUMN()=6,F20,0)),0)</f>
        <v>25257.25</v>
      </c>
      <c r="G21" s="213">
        <f>IFERROR(IF(COLUMN()&lt;6,0,IF(COLUMN()=6,G20,0)),0)</f>
        <v>0</v>
      </c>
    </row>
    <row r="22" spans="1:7" ht="18" customHeight="1">
      <c r="A22" s="234" t="s">
        <v>1021</v>
      </c>
      <c r="B22" s="226" t="s">
        <v>1022</v>
      </c>
      <c r="C22" s="235">
        <f t="shared" si="1"/>
        <v>6644.4320321881714</v>
      </c>
      <c r="D22" s="229">
        <f>IFERROR(IF(AND(SUM($D$15:D$15)&gt;0,D$15&lt;0),0,所得税税率*D$15),0)</f>
        <v>-4857.3349679727089</v>
      </c>
      <c r="E22" s="218">
        <f>IFERROR(IF(AND(SUM($D$15:E$15)&gt;0,E$15&lt;0),0,所得税税率*E$15),0)</f>
        <v>-1765.9195009946641</v>
      </c>
      <c r="F22" s="218">
        <f>IFERROR(IF(AND(SUM($D$15:F$15)&gt;0,F$15&lt;0),0,所得税税率*F$15),0)</f>
        <v>11483.754477810913</v>
      </c>
      <c r="G22" s="219">
        <f>IFERROR(IF(AND(SUM($D$15:G$15)&gt;0,G$15&lt;0),0,所得税税率*G$15),0)</f>
        <v>1783.9320233446319</v>
      </c>
    </row>
    <row r="23" spans="1:7" ht="18" customHeight="1">
      <c r="A23" s="232" t="s">
        <v>1023</v>
      </c>
      <c r="B23" s="223" t="s">
        <v>1024</v>
      </c>
      <c r="C23" s="233">
        <f t="shared" si="1"/>
        <v>1977.1213413056685</v>
      </c>
      <c r="D23" s="228">
        <f>IFERROR(IF(COLUMN()=(3+MATCH(MAX($D$8:$G$8),$D$8:$G$8,0)),MAX(所得税-利润表所得税总额,0),0),0)</f>
        <v>0</v>
      </c>
      <c r="E23" s="212">
        <f>IFERROR(IF(COLUMN()=(3+MATCH(MAX($D$8:$G$8),$D$8:$G$8,0)),MAX(所得税-利润表所得税总额,0),0),0)</f>
        <v>0</v>
      </c>
      <c r="F23" s="212">
        <f>IFERROR(IF(COLUMN()=(3+MATCH(MAX($D$8:$G$8),$D$8:$G$8,0)),MAX(所得税-利润表所得税总额,0),0),0)</f>
        <v>1977.1213413056685</v>
      </c>
      <c r="G23" s="213">
        <f>IFERROR(IF(COLUMN()=(3+MATCH(MAX($D$8:$G$8),$D$8:$G$8,0)),MAX(所得税-利润表所得税总额,0),0),0)</f>
        <v>0</v>
      </c>
    </row>
    <row r="24" spans="1:7" ht="18" customHeight="1">
      <c r="A24" s="234" t="s">
        <v>1025</v>
      </c>
      <c r="B24" s="226" t="s">
        <v>1026</v>
      </c>
      <c r="C24" s="235">
        <f t="shared" si="1"/>
        <v>421192.66680261097</v>
      </c>
      <c r="D24" s="229">
        <f>IFERROR(D38+D39+D40+D41+D42+D43+D61,0)</f>
        <v>15401.952583643251</v>
      </c>
      <c r="E24" s="218">
        <f>IFERROR(E38+E39+E40+E41+E42+E43+E61,0)</f>
        <v>0</v>
      </c>
      <c r="F24" s="218">
        <f>IFERROR(F38+F39+F40+F41+F42+F43+F61,0)</f>
        <v>371101.83989336475</v>
      </c>
      <c r="G24" s="219">
        <f>IFERROR(G38+G39+G40+G41+G42+G43+G61,0)</f>
        <v>34688.874325602941</v>
      </c>
    </row>
    <row r="25" spans="1:7" ht="18" customHeight="1">
      <c r="A25" s="232" t="s">
        <v>1027</v>
      </c>
      <c r="B25" s="223" t="s">
        <v>1028</v>
      </c>
      <c r="C25" s="233">
        <f t="shared" si="1"/>
        <v>-19635.044855488522</v>
      </c>
      <c r="D25" s="228">
        <f>IFERROR(IF(COLUMN()=(3+MATCH(MAX($D$8:$G$8),$D$8:$G$8,0)),MAX(成本构成!H5+D$20-$C24,0),IF(COLUMN()=7,MIN(成本构成!H5+D$20-$C24,0),0)),0)</f>
        <v>0</v>
      </c>
      <c r="E25" s="212">
        <f>IFERROR(IF(COLUMN()=(3+MATCH(MAX($D$8:$G$8),$D$8:$G$8,0)),MAX(成本构成!H5+E$20-$C24,0),IF(COLUMN()=7,MIN(成本构成!H5+E$20-$C24,0),0)),0)</f>
        <v>0</v>
      </c>
      <c r="F25" s="212">
        <f>IFERROR(IF(COLUMN()=(3+MATCH(MAX($D$8:$G$8),$D$8:$G$8,0)),MAX(成本构成!H5+F$20-$C24,0),IF(COLUMN()=7,MIN(成本构成!H5+F$20-$C24,0),0)),0)</f>
        <v>0</v>
      </c>
      <c r="G25" s="213">
        <f>IFERROR(IF(COLUMN()=(3+MATCH(MAX($D$8:$G$8),$D$8:$G$8,0)),MAX(成本构成!H5+G$20-$C24,0),IF(COLUMN()=7,MIN(成本构成!H5+G$20-$C24,0),0)),0)</f>
        <v>-19635.044855488522</v>
      </c>
    </row>
    <row r="26" spans="1:7" ht="18" customHeight="1">
      <c r="A26" s="234" t="s">
        <v>1029</v>
      </c>
      <c r="B26" s="226" t="s">
        <v>1030</v>
      </c>
      <c r="C26" s="236">
        <f t="shared" si="1"/>
        <v>16848</v>
      </c>
      <c r="D26" s="237">
        <v>0</v>
      </c>
      <c r="E26" s="238">
        <v>0</v>
      </c>
      <c r="F26" s="238">
        <f>IFERROR(SUM(收入测算!$H$6:'收入测算'!$S$6),0)</f>
        <v>16005.6</v>
      </c>
      <c r="G26" s="239">
        <f>IFERROR(SUM(收入测算!$T$6:'收入测算'!$W$6),0)</f>
        <v>842.4</v>
      </c>
    </row>
    <row r="27" spans="1:7" ht="18" customHeight="1">
      <c r="A27" s="232" t="s">
        <v>1031</v>
      </c>
      <c r="B27" s="223" t="s">
        <v>1032</v>
      </c>
      <c r="C27" s="240">
        <f t="shared" si="1"/>
        <v>88765.436000000031</v>
      </c>
      <c r="D27" s="241">
        <v>0</v>
      </c>
      <c r="E27" s="242">
        <v>0</v>
      </c>
      <c r="F27" s="242">
        <f>IFERROR(SUM(收入测算!$H$14:'收入测算'!$S$14),0)</f>
        <v>84327.164200000028</v>
      </c>
      <c r="G27" s="243">
        <f>IFERROR(SUM(收入测算!$T$14:'收入测算'!$W$14),0)</f>
        <v>4438.2718000000004</v>
      </c>
    </row>
    <row r="28" spans="1:7" ht="18" customHeight="1">
      <c r="A28" s="234" t="s">
        <v>1033</v>
      </c>
      <c r="B28" s="226" t="s">
        <v>1034</v>
      </c>
      <c r="C28" s="236">
        <f t="shared" si="1"/>
        <v>50685.724119999999</v>
      </c>
      <c r="D28" s="237">
        <v>0</v>
      </c>
      <c r="E28" s="238">
        <v>0</v>
      </c>
      <c r="F28" s="238">
        <f>IFERROR(SUM(收入测算!$H$62:'收入测算'!$S$62)*规划指标!D38,0)</f>
        <v>27877.148266</v>
      </c>
      <c r="G28" s="239">
        <f>IFERROR(SUM(收入测算!$T$62:'收入测算'!$W$62)*规划指标!D38,0)</f>
        <v>22808.575853999999</v>
      </c>
    </row>
    <row r="29" spans="1:7" ht="18" customHeight="1">
      <c r="A29" s="232" t="s">
        <v>1035</v>
      </c>
      <c r="B29" s="223" t="s">
        <v>1036</v>
      </c>
      <c r="C29" s="240">
        <f t="shared" si="1"/>
        <v>2839.4999999999995</v>
      </c>
      <c r="D29" s="241">
        <v>0</v>
      </c>
      <c r="E29" s="242">
        <v>0</v>
      </c>
      <c r="F29" s="242">
        <f>IFERROR(SUM(收入测算!$H$27:'收入测算'!$S$27),0)</f>
        <v>1561.7249999999999</v>
      </c>
      <c r="G29" s="243">
        <f>IFERROR(SUM(收入测算!$T$27:'收入测算'!$W$27),0)</f>
        <v>1277.7749999999996</v>
      </c>
    </row>
    <row r="30" spans="1:7" ht="18" customHeight="1">
      <c r="A30" s="234" t="s">
        <v>1037</v>
      </c>
      <c r="B30" s="226" t="s">
        <v>1038</v>
      </c>
      <c r="C30" s="236">
        <f t="shared" si="1"/>
        <v>1097</v>
      </c>
      <c r="D30" s="237">
        <v>0</v>
      </c>
      <c r="E30" s="238">
        <v>0</v>
      </c>
      <c r="F30" s="238">
        <f>IFERROR(SUM(收入测算!$H$35:'收入测算'!$S$35),0)</f>
        <v>1042.1500000000001</v>
      </c>
      <c r="G30" s="239">
        <f>IFERROR(SUM(收入测算!$T$35:'收入测算'!$W$35),0)</f>
        <v>54.849999999999994</v>
      </c>
    </row>
    <row r="31" spans="1:7" ht="18" customHeight="1">
      <c r="A31" s="232" t="s">
        <v>1039</v>
      </c>
      <c r="B31" s="223" t="s">
        <v>1040</v>
      </c>
      <c r="C31" s="240">
        <f t="shared" si="1"/>
        <v>550</v>
      </c>
      <c r="D31" s="241">
        <v>0</v>
      </c>
      <c r="E31" s="242">
        <v>0</v>
      </c>
      <c r="F31" s="242">
        <f>IFERROR(SUM(收入测算!$H$43:'收入测算'!$S$43),0)</f>
        <v>550</v>
      </c>
      <c r="G31" s="243">
        <f>IFERROR(SUM(收入测算!$T$43:'收入测算'!$W$43),0)</f>
        <v>0</v>
      </c>
    </row>
    <row r="32" spans="1:7" ht="18" customHeight="1">
      <c r="A32" s="234" t="s">
        <v>1041</v>
      </c>
      <c r="B32" s="226" t="s">
        <v>1042</v>
      </c>
      <c r="C32" s="227">
        <f t="shared" si="1"/>
        <v>69555.963302752294</v>
      </c>
      <c r="D32" s="229">
        <f t="shared" ref="D32:E37" si="2">IFERROR(0/(1+增值税适用税率),0)</f>
        <v>0</v>
      </c>
      <c r="E32" s="218">
        <f t="shared" si="2"/>
        <v>0</v>
      </c>
      <c r="F32" s="218">
        <f>IFERROR(SUM(收入测算!$H$11:'收入测算'!$S$11)/(1+增值税适用税率),0)</f>
        <v>66078.165137614676</v>
      </c>
      <c r="G32" s="219">
        <f>IFERROR(SUM(收入测算!$T$11:'收入测算'!$W$11)/(1+增值税适用税率),0)</f>
        <v>3477.7981651376144</v>
      </c>
    </row>
    <row r="33" spans="1:7" ht="18" customHeight="1">
      <c r="A33" s="232" t="s">
        <v>1043</v>
      </c>
      <c r="B33" s="223" t="s">
        <v>1044</v>
      </c>
      <c r="C33" s="224">
        <f t="shared" si="1"/>
        <v>366462.80917431199</v>
      </c>
      <c r="D33" s="228">
        <f t="shared" si="2"/>
        <v>0</v>
      </c>
      <c r="E33" s="212">
        <f t="shared" si="2"/>
        <v>0</v>
      </c>
      <c r="F33" s="212">
        <f>IFERROR(SUM(收入测算!$H$19:'收入测算'!$S$19)/(1+增值税适用税率),0)</f>
        <v>348139.66871559637</v>
      </c>
      <c r="G33" s="213">
        <f>IFERROR(SUM(收入测算!$T$19:'收入测算'!$W$19)/(1+增值税适用税率),0)</f>
        <v>18323.140458715596</v>
      </c>
    </row>
    <row r="34" spans="1:7" ht="18" customHeight="1">
      <c r="A34" s="234" t="s">
        <v>1045</v>
      </c>
      <c r="B34" s="226" t="s">
        <v>1046</v>
      </c>
      <c r="C34" s="227">
        <f t="shared" si="1"/>
        <v>5557.4311926605506</v>
      </c>
      <c r="D34" s="229">
        <f t="shared" si="2"/>
        <v>0</v>
      </c>
      <c r="E34" s="218">
        <f t="shared" si="2"/>
        <v>0</v>
      </c>
      <c r="F34" s="218">
        <f>IFERROR(SUM(收入测算!$H$65:'收入测算'!$S$65)/IF(规划指标!D23&gt;0,规划指标!D23,1)*规划指标!D38/(1+增值税适用税率),0)</f>
        <v>3056.5871559633028</v>
      </c>
      <c r="G34" s="219">
        <f>IFERROR(SUM(收入测算!$T$65:'收入测算'!$W$65)/IF(规划指标!D23&gt;0,规划指标!D23,1)*规划指标!D38/(1+增值税适用税率),0)</f>
        <v>2500.8440366972477</v>
      </c>
    </row>
    <row r="35" spans="1:7" ht="18" customHeight="1">
      <c r="A35" s="232" t="s">
        <v>1047</v>
      </c>
      <c r="B35" s="223" t="s">
        <v>1048</v>
      </c>
      <c r="C35" s="224">
        <f t="shared" si="1"/>
        <v>1563.0275229357796</v>
      </c>
      <c r="D35" s="228">
        <f t="shared" si="2"/>
        <v>0</v>
      </c>
      <c r="E35" s="212">
        <f t="shared" si="2"/>
        <v>0</v>
      </c>
      <c r="F35" s="212">
        <f>IFERROR(SUM(收入测算!$H$32:'收入测算'!$S$32)/(1+增值税适用税率),0)</f>
        <v>859.66513761467877</v>
      </c>
      <c r="G35" s="213">
        <f>IFERROR(SUM(收入测算!$T$32:'收入测算'!$W$32)/(1+增值税适用税率),0)</f>
        <v>703.36238532110087</v>
      </c>
    </row>
    <row r="36" spans="1:7" ht="18" customHeight="1">
      <c r="A36" s="234" t="s">
        <v>1049</v>
      </c>
      <c r="B36" s="226" t="s">
        <v>1050</v>
      </c>
      <c r="C36" s="227">
        <f t="shared" si="1"/>
        <v>4528.899082568807</v>
      </c>
      <c r="D36" s="229">
        <f t="shared" si="2"/>
        <v>0</v>
      </c>
      <c r="E36" s="218">
        <f t="shared" si="2"/>
        <v>0</v>
      </c>
      <c r="F36" s="218">
        <f>IFERROR(SUM(收入测算!$H$40:'收入测算'!$S$40)/(1+增值税适用税率),0)</f>
        <v>4302.4541284403667</v>
      </c>
      <c r="G36" s="219">
        <f>IFERROR(SUM(收入测算!$T$40:'收入测算'!$W$40)/(1+增值税适用税率),0)</f>
        <v>226.44495412844034</v>
      </c>
    </row>
    <row r="37" spans="1:7" ht="18" customHeight="1">
      <c r="A37" s="232" t="s">
        <v>1051</v>
      </c>
      <c r="B37" s="223" t="s">
        <v>1052</v>
      </c>
      <c r="C37" s="224">
        <f t="shared" si="1"/>
        <v>504.58715596330273</v>
      </c>
      <c r="D37" s="228">
        <f t="shared" si="2"/>
        <v>0</v>
      </c>
      <c r="E37" s="212">
        <f t="shared" si="2"/>
        <v>0</v>
      </c>
      <c r="F37" s="212">
        <f>IFERROR(SUM(收入测算!$H$48:'收入测算'!$S$48)/(1+增值税适用税率),0)</f>
        <v>504.58715596330273</v>
      </c>
      <c r="G37" s="213">
        <f>IFERROR(SUM(收入测算!$T$48:'收入测算'!$W$48)/(1+增值税适用税率),0)</f>
        <v>0</v>
      </c>
    </row>
    <row r="38" spans="1:7" ht="18" customHeight="1">
      <c r="A38" s="234" t="s">
        <v>1053</v>
      </c>
      <c r="B38" s="226" t="s">
        <v>1054</v>
      </c>
      <c r="C38" s="227">
        <f t="shared" si="1"/>
        <v>58718.446445407673</v>
      </c>
      <c r="D38" s="229">
        <f t="shared" ref="D38:G43" si="3">IFERROR(D26*D47/10000,0)</f>
        <v>0</v>
      </c>
      <c r="E38" s="218">
        <f t="shared" si="3"/>
        <v>0</v>
      </c>
      <c r="F38" s="218">
        <f t="shared" si="3"/>
        <v>55782.524123137293</v>
      </c>
      <c r="G38" s="219">
        <f t="shared" si="3"/>
        <v>2935.9223222703836</v>
      </c>
    </row>
    <row r="39" spans="1:7" ht="18" customHeight="1">
      <c r="A39" s="232" t="s">
        <v>1055</v>
      </c>
      <c r="B39" s="223" t="s">
        <v>1056</v>
      </c>
      <c r="C39" s="224">
        <f t="shared" si="1"/>
        <v>309364.22720615292</v>
      </c>
      <c r="D39" s="228">
        <f t="shared" si="3"/>
        <v>0</v>
      </c>
      <c r="E39" s="212">
        <f t="shared" si="3"/>
        <v>0</v>
      </c>
      <c r="F39" s="212">
        <f t="shared" si="3"/>
        <v>293896.01584584528</v>
      </c>
      <c r="G39" s="213">
        <f t="shared" si="3"/>
        <v>15468.211360307643</v>
      </c>
    </row>
    <row r="40" spans="1:7" ht="18" customHeight="1">
      <c r="A40" s="234" t="s">
        <v>1057</v>
      </c>
      <c r="B40" s="226" t="s">
        <v>1058</v>
      </c>
      <c r="C40" s="227">
        <f t="shared" si="1"/>
        <v>29959.081327506748</v>
      </c>
      <c r="D40" s="229">
        <f t="shared" si="3"/>
        <v>0</v>
      </c>
      <c r="E40" s="218">
        <f t="shared" si="3"/>
        <v>0</v>
      </c>
      <c r="F40" s="218">
        <f t="shared" si="3"/>
        <v>16477.494730128714</v>
      </c>
      <c r="G40" s="219">
        <f t="shared" si="3"/>
        <v>13481.586597378036</v>
      </c>
    </row>
    <row r="41" spans="1:7" ht="18" customHeight="1">
      <c r="A41" s="232" t="s">
        <v>1059</v>
      </c>
      <c r="B41" s="223" t="s">
        <v>1060</v>
      </c>
      <c r="C41" s="224">
        <f t="shared" si="1"/>
        <v>6103.4306859820326</v>
      </c>
      <c r="D41" s="228">
        <f t="shared" si="3"/>
        <v>0</v>
      </c>
      <c r="E41" s="212">
        <f t="shared" si="3"/>
        <v>0</v>
      </c>
      <c r="F41" s="212">
        <f t="shared" si="3"/>
        <v>3356.8868772901183</v>
      </c>
      <c r="G41" s="213">
        <f t="shared" si="3"/>
        <v>2746.5438086919144</v>
      </c>
    </row>
    <row r="42" spans="1:7" ht="18" customHeight="1">
      <c r="A42" s="234" t="s">
        <v>1061</v>
      </c>
      <c r="B42" s="226" t="s">
        <v>1062</v>
      </c>
      <c r="C42" s="227">
        <f t="shared" si="1"/>
        <v>1132.2047390992038</v>
      </c>
      <c r="D42" s="229">
        <f t="shared" si="3"/>
        <v>0</v>
      </c>
      <c r="E42" s="218">
        <f t="shared" si="3"/>
        <v>0</v>
      </c>
      <c r="F42" s="218">
        <f t="shared" si="3"/>
        <v>1075.5945021442437</v>
      </c>
      <c r="G42" s="219">
        <f t="shared" si="3"/>
        <v>56.610236954960179</v>
      </c>
    </row>
    <row r="43" spans="1:7" ht="18" customHeight="1">
      <c r="A43" s="232" t="s">
        <v>1063</v>
      </c>
      <c r="B43" s="223" t="s">
        <v>1064</v>
      </c>
      <c r="C43" s="224">
        <f t="shared" si="1"/>
        <v>513.32381481912716</v>
      </c>
      <c r="D43" s="228">
        <f t="shared" si="3"/>
        <v>0</v>
      </c>
      <c r="E43" s="212">
        <f t="shared" si="3"/>
        <v>0</v>
      </c>
      <c r="F43" s="212">
        <f t="shared" si="3"/>
        <v>513.32381481912716</v>
      </c>
      <c r="G43" s="213">
        <f t="shared" si="3"/>
        <v>0</v>
      </c>
    </row>
    <row r="44" spans="1:7" ht="18" customHeight="1">
      <c r="A44" s="234" t="s">
        <v>1065</v>
      </c>
      <c r="B44" s="226" t="s">
        <v>1066</v>
      </c>
      <c r="C44" s="235">
        <f>IFERROR(D44,0)</f>
        <v>3547.699481430433</v>
      </c>
      <c r="D44" s="229">
        <f>IFERROR((成本构成!H5+D$20-成本构成!H6-(成本构成!H28))/规划指标!E15*10000,0)</f>
        <v>3547.699481430433</v>
      </c>
      <c r="E44" s="218">
        <f t="shared" ref="E44:G46" si="4">IFERROR(D44,0)</f>
        <v>3547.699481430433</v>
      </c>
      <c r="F44" s="218">
        <f t="shared" si="4"/>
        <v>3547.699481430433</v>
      </c>
      <c r="G44" s="219">
        <f t="shared" si="4"/>
        <v>3547.699481430433</v>
      </c>
    </row>
    <row r="45" spans="1:7" s="193" customFormat="1" ht="18" customHeight="1">
      <c r="A45" s="232" t="s">
        <v>1067</v>
      </c>
      <c r="B45" s="223" t="s">
        <v>1068</v>
      </c>
      <c r="C45" s="224">
        <f>IFERROR((成本构成!H6/(成本构成!H7+成本构成!H10))*成本构成!H7/规划指标!E16*10000,0)</f>
        <v>24485.552139854557</v>
      </c>
      <c r="D45" s="228">
        <f>IFERROR(C45,0)</f>
        <v>24485.552139854557</v>
      </c>
      <c r="E45" s="212">
        <f t="shared" si="4"/>
        <v>24485.552139854557</v>
      </c>
      <c r="F45" s="212">
        <f t="shared" si="4"/>
        <v>24485.552139854557</v>
      </c>
      <c r="G45" s="213">
        <f t="shared" si="4"/>
        <v>24485.552139854557</v>
      </c>
    </row>
    <row r="46" spans="1:7" ht="18" customHeight="1">
      <c r="A46" s="234" t="s">
        <v>1069</v>
      </c>
      <c r="B46" s="226" t="s">
        <v>1070</v>
      </c>
      <c r="C46" s="227">
        <f>IFERROR((成本构成!H6/(成本构成!H7+成本构成!H10))*成本构成!H10/规划指标!E22*10000,0)</f>
        <v>1617.8816517858829</v>
      </c>
      <c r="D46" s="229">
        <f>IFERROR(C46,0)</f>
        <v>1617.8816517858829</v>
      </c>
      <c r="E46" s="218">
        <f t="shared" si="4"/>
        <v>1617.8816517858829</v>
      </c>
      <c r="F46" s="218">
        <f t="shared" si="4"/>
        <v>1617.8816517858829</v>
      </c>
      <c r="G46" s="219">
        <f t="shared" si="4"/>
        <v>1617.8816517858829</v>
      </c>
    </row>
    <row r="47" spans="1:7" ht="18" customHeight="1">
      <c r="A47" s="232" t="s">
        <v>1071</v>
      </c>
      <c r="B47" s="223" t="s">
        <v>1072</v>
      </c>
      <c r="C47" s="233">
        <f t="shared" ref="C47:C52" si="5">IFERROR(D47,0)</f>
        <v>34851.879419164099</v>
      </c>
      <c r="D47" s="228">
        <f>IFERROR(D44+D45+D60+成本构成!H29/成本构成!N29*10000,D44+D45+D60)</f>
        <v>34851.879419164099</v>
      </c>
      <c r="E47" s="212">
        <f>IFERROR(E44+E45+E60+成本构成!H29/成本构成!N29*10000,E44+E45+E60)</f>
        <v>34851.879419164099</v>
      </c>
      <c r="F47" s="212">
        <f>IFERROR(F44+F45+F60+成本构成!H29/成本构成!N29*10000,F44+F45+F60)</f>
        <v>34851.879419164099</v>
      </c>
      <c r="G47" s="213">
        <f>IFERROR(G44+G45+G60+成本构成!H29/成本构成!N29*10000,G44+G45+G60)</f>
        <v>34851.879419164099</v>
      </c>
    </row>
    <row r="48" spans="1:7" ht="18" customHeight="1">
      <c r="A48" s="234" t="s">
        <v>1073</v>
      </c>
      <c r="B48" s="226" t="s">
        <v>1074</v>
      </c>
      <c r="C48" s="235">
        <f t="shared" si="5"/>
        <v>34851.879419164099</v>
      </c>
      <c r="D48" s="229">
        <f>IFERROR(D44+D45+D60+成本构成!H31/成本构成!N31*10000,D44+D45+D60)</f>
        <v>34851.879419164099</v>
      </c>
      <c r="E48" s="218">
        <f>IFERROR(E44+E45+E60+成本构成!H31/成本构成!N31*10000,E44+E45+E60)</f>
        <v>34851.879419164099</v>
      </c>
      <c r="F48" s="218">
        <f>IFERROR(F44+F45+F60+成本构成!H31/成本构成!N31*10000,F44+F45+F60)</f>
        <v>34851.879419164099</v>
      </c>
      <c r="G48" s="219">
        <f>IFERROR(G44+G45+G60+成本构成!H31/成本构成!N31*10000,G44+G45+G60)</f>
        <v>34851.879419164099</v>
      </c>
    </row>
    <row r="49" spans="1:7" ht="18" customHeight="1">
      <c r="A49" s="232" t="s">
        <v>1075</v>
      </c>
      <c r="B49" s="223" t="s">
        <v>1076</v>
      </c>
      <c r="C49" s="233">
        <f t="shared" si="5"/>
        <v>5910.7533428106326</v>
      </c>
      <c r="D49" s="228">
        <f>IFERROR(D44+D46-D59+成本构成!H33/成本构成!N33*10000,D44+D46-D59)</f>
        <v>5910.7533428106326</v>
      </c>
      <c r="E49" s="212">
        <f>IFERROR(E44+E46-E59+成本构成!H33/成本构成!N33*10000,E44+E46-E59)</f>
        <v>5910.7533428106326</v>
      </c>
      <c r="F49" s="212">
        <f>IFERROR(F44+F46-F59+成本构成!H33/成本构成!N33*10000,F44+F46-F59)</f>
        <v>5910.7533428106326</v>
      </c>
      <c r="G49" s="213">
        <f>IFERROR(G44+G46-G59+成本构成!H33/成本构成!N33*10000,G44+G46-G59)</f>
        <v>5910.7533428106326</v>
      </c>
    </row>
    <row r="50" spans="1:7" ht="18" customHeight="1">
      <c r="A50" s="234" t="s">
        <v>1077</v>
      </c>
      <c r="B50" s="226" t="s">
        <v>1078</v>
      </c>
      <c r="C50" s="235">
        <f t="shared" si="5"/>
        <v>21494.737404409345</v>
      </c>
      <c r="D50" s="229">
        <f>IFERROR(D44+D46+成本构成!H37/成本构成!N37*10000,D44+D46)</f>
        <v>21494.737404409345</v>
      </c>
      <c r="E50" s="218">
        <f>IFERROR(E44+E46+成本构成!H37/成本构成!N37*10000,E44+E46)</f>
        <v>21494.737404409345</v>
      </c>
      <c r="F50" s="218">
        <f>IFERROR(F44+F46+成本构成!H37/成本构成!N37*10000,F44+F46)</f>
        <v>21494.737404409345</v>
      </c>
      <c r="G50" s="219">
        <f>IFERROR(G44+G46+成本构成!H37/成本构成!N37*10000,G44+G46)</f>
        <v>21494.737404409345</v>
      </c>
    </row>
    <row r="51" spans="1:7" ht="18" customHeight="1">
      <c r="A51" s="232" t="s">
        <v>1079</v>
      </c>
      <c r="B51" s="223" t="s">
        <v>1080</v>
      </c>
      <c r="C51" s="233">
        <f t="shared" si="5"/>
        <v>10320.918314486817</v>
      </c>
      <c r="D51" s="228">
        <f>IFERROR(D44+D46+成本构成!H39/成本构成!N39*10000,D44+D46)</f>
        <v>10320.918314486817</v>
      </c>
      <c r="E51" s="212">
        <f>IFERROR(E44+E46+成本构成!H39/成本构成!N39*10000,E44+E46)</f>
        <v>10320.918314486817</v>
      </c>
      <c r="F51" s="212">
        <f>IFERROR(F44+F46+成本构成!H39/成本构成!N39*10000,F44+F46)</f>
        <v>10320.918314486817</v>
      </c>
      <c r="G51" s="213">
        <f>IFERROR(G44+G46+成本构成!H39/成本构成!N39*10000,G44+G46)</f>
        <v>10320.918314486817</v>
      </c>
    </row>
    <row r="52" spans="1:7" ht="18" customHeight="1">
      <c r="A52" s="234" t="s">
        <v>1081</v>
      </c>
      <c r="B52" s="226" t="s">
        <v>1082</v>
      </c>
      <c r="C52" s="235">
        <f t="shared" si="5"/>
        <v>9333.1602694386747</v>
      </c>
      <c r="D52" s="229">
        <f>IFERROR(D44+D46+成本构成!H41/成本构成!N41*10000,D44+D46)</f>
        <v>9333.1602694386747</v>
      </c>
      <c r="E52" s="218">
        <f>IFERROR(E44+E46+成本构成!H41/成本构成!N41*10000,E44+E46)</f>
        <v>9333.1602694386747</v>
      </c>
      <c r="F52" s="218">
        <f>IFERROR(F44+F46+成本构成!H41/成本构成!N41*10000,F44+F46)</f>
        <v>9333.1602694386747</v>
      </c>
      <c r="G52" s="219">
        <f>IFERROR(G44+G46+成本构成!H41/成本构成!N41*10000,G44+G46)</f>
        <v>9333.1602694386747</v>
      </c>
    </row>
    <row r="53" spans="1:7" ht="18" customHeight="1">
      <c r="A53" s="232" t="s">
        <v>1083</v>
      </c>
      <c r="B53" s="223" t="s">
        <v>1084</v>
      </c>
      <c r="C53" s="244">
        <f>IFERROR(规划指标!D23/收入测算!F60,0)</f>
        <v>100.40753589540411</v>
      </c>
      <c r="D53" s="228">
        <f>IFERROR(C53,0)</f>
        <v>100.40753589540411</v>
      </c>
      <c r="E53" s="212">
        <f>IFERROR(D53,0)</f>
        <v>100.40753589540411</v>
      </c>
      <c r="F53" s="212">
        <f>IFERROR(E53,0)</f>
        <v>100.40753589540411</v>
      </c>
      <c r="G53" s="213">
        <f>IFERROR(F53,0)</f>
        <v>100.40753589540411</v>
      </c>
    </row>
    <row r="54" spans="1:7" ht="18" customHeight="1">
      <c r="A54" s="234" t="s">
        <v>1085</v>
      </c>
      <c r="B54" s="226" t="s">
        <v>1086</v>
      </c>
      <c r="C54" s="245">
        <f>IFERROR(SUM(D54:G54),0)</f>
        <v>504.8</v>
      </c>
      <c r="D54" s="237">
        <v>0</v>
      </c>
      <c r="E54" s="238">
        <v>0</v>
      </c>
      <c r="F54" s="238">
        <f>IFERROR(SUM(收入测算!$H$60:'收入测算'!$S$60),0)</f>
        <v>277.64</v>
      </c>
      <c r="G54" s="239">
        <f>IFERROR(SUM(收入测算!$T$60:'收入测算'!$W$60),0)</f>
        <v>227.16000000000003</v>
      </c>
    </row>
    <row r="55" spans="1:7" ht="18" customHeight="1">
      <c r="A55" s="232" t="s">
        <v>1087</v>
      </c>
      <c r="B55" s="223" t="s">
        <v>1088</v>
      </c>
      <c r="C55" s="224">
        <f>IFERROR(SUM(D55:G55),0)</f>
        <v>5557.4311926605506</v>
      </c>
      <c r="D55" s="228">
        <f>IFERROR(0/(1+增值税适用税率),0)</f>
        <v>0</v>
      </c>
      <c r="E55" s="212">
        <f>IFERROR(0/(1+增值税适用税率),0)</f>
        <v>0</v>
      </c>
      <c r="F55" s="212">
        <f>IFERROR(SUM(收入测算!$H$65:'收入测算'!$S$65)/(1+增值税适用税率),0)</f>
        <v>3056.5871559633028</v>
      </c>
      <c r="G55" s="213">
        <f>IFERROR(SUM(收入测算!$T$65:'收入测算'!$W$65)/(1+增值税适用税率),0)</f>
        <v>2500.8440366972477</v>
      </c>
    </row>
    <row r="56" spans="1:7" ht="18" customHeight="1">
      <c r="A56" s="234" t="s">
        <v>1089</v>
      </c>
      <c r="B56" s="226" t="s">
        <v>1090</v>
      </c>
      <c r="C56" s="227">
        <f>IFERROR(D56,0)</f>
        <v>0.47408287108099723</v>
      </c>
      <c r="D56" s="229">
        <f>IFERROR((成本构成!F33)/规划指标!D23,0)</f>
        <v>0.47408287108099723</v>
      </c>
      <c r="E56" s="218">
        <f>IFERROR((成本构成!F33)/规划指标!D23,0)</f>
        <v>0.47408287108099723</v>
      </c>
      <c r="F56" s="218">
        <f>IFERROR((成本构成!F33)/规划指标!D23,0)</f>
        <v>0.47408287108099723</v>
      </c>
      <c r="G56" s="219">
        <f>IFERROR((成本构成!F33)/规划指标!D23,0)</f>
        <v>0.47408287108099723</v>
      </c>
    </row>
    <row r="57" spans="1:7" ht="18" customHeight="1">
      <c r="A57" s="232" t="s">
        <v>1091</v>
      </c>
      <c r="B57" s="223" t="s">
        <v>1092</v>
      </c>
      <c r="C57" s="224">
        <f>IFERROR(C44+C56+C46,0)</f>
        <v>5166.0552160873967</v>
      </c>
      <c r="D57" s="228">
        <f t="shared" ref="D57:G60" si="6">IFERROR(C57,0)</f>
        <v>5166.0552160873967</v>
      </c>
      <c r="E57" s="212">
        <f t="shared" si="6"/>
        <v>5166.0552160873967</v>
      </c>
      <c r="F57" s="212">
        <f t="shared" si="6"/>
        <v>5166.0552160873967</v>
      </c>
      <c r="G57" s="213">
        <f t="shared" si="6"/>
        <v>5166.0552160873967</v>
      </c>
    </row>
    <row r="58" spans="1:7" ht="18" customHeight="1">
      <c r="A58" s="234" t="s">
        <v>1093</v>
      </c>
      <c r="B58" s="226" t="s">
        <v>1094</v>
      </c>
      <c r="C58" s="227">
        <f>IFERROR(收入测算!F65/规划指标!E23*10000,0)</f>
        <v>1561.8432873239406</v>
      </c>
      <c r="D58" s="229">
        <f t="shared" si="6"/>
        <v>1561.8432873239406</v>
      </c>
      <c r="E58" s="218">
        <f t="shared" si="6"/>
        <v>1561.8432873239406</v>
      </c>
      <c r="F58" s="218">
        <f t="shared" si="6"/>
        <v>1561.8432873239406</v>
      </c>
      <c r="G58" s="219">
        <f t="shared" si="6"/>
        <v>1561.8432873239406</v>
      </c>
    </row>
    <row r="59" spans="1:7" ht="18" customHeight="1">
      <c r="A59" s="232" t="s">
        <v>1095</v>
      </c>
      <c r="B59" s="223" t="s">
        <v>1096</v>
      </c>
      <c r="C59" s="224">
        <f>IFERROR(MAX(C57-C58,0),0)</f>
        <v>3604.2119287634559</v>
      </c>
      <c r="D59" s="228">
        <f t="shared" si="6"/>
        <v>3604.2119287634559</v>
      </c>
      <c r="E59" s="212">
        <f t="shared" si="6"/>
        <v>3604.2119287634559</v>
      </c>
      <c r="F59" s="212">
        <f t="shared" si="6"/>
        <v>3604.2119287634559</v>
      </c>
      <c r="G59" s="213">
        <f t="shared" si="6"/>
        <v>3604.2119287634559</v>
      </c>
    </row>
    <row r="60" spans="1:7" ht="18" customHeight="1">
      <c r="A60" s="234" t="s">
        <v>1097</v>
      </c>
      <c r="B60" s="226" t="s">
        <v>1098</v>
      </c>
      <c r="C60" s="227">
        <f>IFERROR(MAX(C59*规划指标!D23/规划指标!E16,0),0)</f>
        <v>1729.7239670463673</v>
      </c>
      <c r="D60" s="229">
        <f t="shared" si="6"/>
        <v>1729.7239670463673</v>
      </c>
      <c r="E60" s="218">
        <f t="shared" si="6"/>
        <v>1729.7239670463673</v>
      </c>
      <c r="F60" s="218">
        <f t="shared" si="6"/>
        <v>1729.7239670463673</v>
      </c>
      <c r="G60" s="219">
        <f t="shared" si="6"/>
        <v>1729.7239670463673</v>
      </c>
    </row>
    <row r="61" spans="1:7" ht="18" customHeight="1">
      <c r="A61" s="246" t="s">
        <v>1099</v>
      </c>
      <c r="B61" s="247" t="s">
        <v>1100</v>
      </c>
      <c r="C61" s="248">
        <f>IFERROR(SUM(D61:G61),0)</f>
        <v>15401.952583643251</v>
      </c>
      <c r="D61" s="249">
        <f>IFERROR(IF(COLUMN()=4,IFERROR((规划指标!D56-规划指标!E56)/规划指标!D56*规划指标!D23*D56,0),0),0)</f>
        <v>15401.952583643251</v>
      </c>
      <c r="E61" s="250">
        <f>IFERROR(IF(COLUMN()=4,IFERROR((规划指标!D56-规划指标!E56)/规划指标!D56*规划指标!D23*E56,0),0),0)</f>
        <v>0</v>
      </c>
      <c r="F61" s="250">
        <f>IFERROR(IF(COLUMN()=4,IFERROR((规划指标!D56-规划指标!E56)/规划指标!D56*规划指标!D23*F56,0),0),0)</f>
        <v>0</v>
      </c>
      <c r="G61" s="251">
        <f>IFERROR(IF(COLUMN()=4,IFERROR((规划指标!D56-规划指标!E56)/规划指标!D56*规划指标!D23*G56,0),0),0)</f>
        <v>0</v>
      </c>
    </row>
    <row r="62" spans="1:7" ht="18" customHeight="1">
      <c r="A62" s="252" t="s">
        <v>1101</v>
      </c>
      <c r="B62" s="253"/>
      <c r="C62" s="253"/>
      <c r="D62" s="253"/>
      <c r="E62" s="254"/>
      <c r="F62" s="254"/>
      <c r="G62" s="254"/>
    </row>
    <row r="63" spans="1:7" ht="18" customHeight="1"/>
    <row r="64" spans="1:7" ht="18" customHeight="1"/>
    <row r="65" ht="18" customHeight="1"/>
  </sheetData>
  <mergeCells count="1">
    <mergeCell ref="A1:B2"/>
  </mergeCells>
  <phoneticPr fontId="43" type="noConversion"/>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5"/>
  <sheetViews>
    <sheetView showGridLines="0" workbookViewId="0">
      <pane xSplit="2" ySplit="4" topLeftCell="C5" activePane="bottomRight" state="frozenSplit"/>
      <selection pane="topRight"/>
      <selection pane="bottomLeft"/>
      <selection pane="bottomRight" activeCell="B1" sqref="B1:K2"/>
    </sheetView>
  </sheetViews>
  <sheetFormatPr defaultColWidth="9" defaultRowHeight="13.5"/>
  <cols>
    <col min="1" max="1" width="34.5" hidden="1" customWidth="1"/>
    <col min="2" max="2" width="22.375" customWidth="1"/>
    <col min="3" max="11" width="15.625" customWidth="1"/>
  </cols>
  <sheetData>
    <row r="1" spans="1:11" s="1" customFormat="1" ht="28.15" customHeight="1">
      <c r="B1" s="1283" t="s">
        <v>1102</v>
      </c>
      <c r="C1" s="1077"/>
      <c r="D1" s="1077"/>
      <c r="E1" s="1077"/>
      <c r="F1" s="1077"/>
      <c r="G1" s="1077"/>
      <c r="H1" s="1077"/>
      <c r="I1" s="1077"/>
      <c r="J1" s="1077"/>
      <c r="K1" s="1077"/>
    </row>
    <row r="2" spans="1:11" s="1" customFormat="1" ht="28.15" customHeight="1">
      <c r="B2" s="1078"/>
      <c r="C2" s="1078"/>
      <c r="D2" s="1078"/>
      <c r="E2" s="1078"/>
      <c r="F2" s="1078"/>
      <c r="G2" s="1078"/>
      <c r="H2" s="1078"/>
      <c r="I2" s="1078"/>
      <c r="J2" s="1078"/>
      <c r="K2" s="1078"/>
    </row>
    <row r="3" spans="1:11" ht="18" customHeight="1">
      <c r="A3" s="128"/>
      <c r="B3" s="1277" t="s">
        <v>135</v>
      </c>
      <c r="C3" s="1279" t="s">
        <v>670</v>
      </c>
      <c r="D3" s="1276"/>
      <c r="E3" s="1276"/>
      <c r="F3" s="1276"/>
      <c r="G3" s="1276"/>
      <c r="H3" s="1276"/>
      <c r="I3" s="1276"/>
      <c r="J3" s="1276"/>
      <c r="K3" s="1281" t="s">
        <v>669</v>
      </c>
    </row>
    <row r="4" spans="1:11" ht="18" customHeight="1">
      <c r="A4" s="129"/>
      <c r="B4" s="1278"/>
      <c r="C4" s="1280"/>
      <c r="D4" s="163">
        <v>-0.15</v>
      </c>
      <c r="E4" s="163">
        <v>-0.1</v>
      </c>
      <c r="F4" s="163">
        <v>-0.05</v>
      </c>
      <c r="G4" s="163">
        <v>0</v>
      </c>
      <c r="H4" s="164" t="s">
        <v>1103</v>
      </c>
      <c r="I4" s="164" t="s">
        <v>1104</v>
      </c>
      <c r="J4" s="164" t="s">
        <v>673</v>
      </c>
      <c r="K4" s="1282"/>
    </row>
    <row r="5" spans="1:11" ht="18" customHeight="1">
      <c r="A5" s="131" t="str">
        <f>IF(B5="直接开发成本","JCYS_ZJCB",IF(B5="直接成本(扣除土地)","JCYS_ZJCB_ChuTuDi",IF(B5="土地成本","JCYS_ZJCB_TuDi",IF(B5="建安成本","JCYS_ZJCB_JianAn",IF(B5="基础设施成本","JCYS_ZJCB_JiJian","JCYS_ZJCB_GongJian")))))</f>
        <v>JCYS_ZJCB</v>
      </c>
      <c r="B5" s="165" t="s">
        <v>472</v>
      </c>
      <c r="C5" s="166"/>
      <c r="D5" s="167"/>
      <c r="E5" s="167"/>
      <c r="F5" s="167"/>
      <c r="G5" s="167"/>
      <c r="H5" s="167"/>
      <c r="I5" s="167"/>
      <c r="J5" s="167"/>
      <c r="K5" s="185"/>
    </row>
    <row r="6" spans="1:11" ht="18" customHeight="1">
      <c r="A6" s="136" t="s">
        <v>675</v>
      </c>
      <c r="B6" s="168" t="s">
        <v>676</v>
      </c>
      <c r="C6" s="169"/>
      <c r="D6" s="170"/>
      <c r="E6" s="170"/>
      <c r="F6" s="170"/>
      <c r="G6" s="170"/>
      <c r="H6" s="170"/>
      <c r="I6" s="170"/>
      <c r="J6" s="170"/>
      <c r="K6" s="186"/>
    </row>
    <row r="7" spans="1:11" ht="18" customHeight="1">
      <c r="A7" s="141" t="s">
        <v>677</v>
      </c>
      <c r="B7" s="171" t="s">
        <v>678</v>
      </c>
      <c r="C7" s="172"/>
      <c r="D7" s="173"/>
      <c r="E7" s="173"/>
      <c r="F7" s="173"/>
      <c r="G7" s="173"/>
      <c r="H7" s="173"/>
      <c r="I7" s="173"/>
      <c r="J7" s="173"/>
      <c r="K7" s="187"/>
    </row>
    <row r="8" spans="1:11" ht="18" customHeight="1">
      <c r="A8" s="136" t="s">
        <v>679</v>
      </c>
      <c r="B8" s="168" t="s">
        <v>680</v>
      </c>
      <c r="C8" s="169"/>
      <c r="D8" s="170"/>
      <c r="E8" s="170"/>
      <c r="F8" s="170"/>
      <c r="G8" s="170"/>
      <c r="H8" s="170"/>
      <c r="I8" s="170"/>
      <c r="J8" s="170"/>
      <c r="K8" s="188"/>
    </row>
    <row r="9" spans="1:11" ht="18" customHeight="1">
      <c r="A9" s="141" t="s">
        <v>681</v>
      </c>
      <c r="B9" s="171" t="s">
        <v>682</v>
      </c>
      <c r="C9" s="172"/>
      <c r="D9" s="173"/>
      <c r="E9" s="173"/>
      <c r="F9" s="173"/>
      <c r="G9" s="173"/>
      <c r="H9" s="173"/>
      <c r="I9" s="173"/>
      <c r="J9" s="173"/>
      <c r="K9" s="187"/>
    </row>
    <row r="10" spans="1:11" ht="18" customHeight="1">
      <c r="A10" s="136" t="s">
        <v>683</v>
      </c>
      <c r="B10" s="168" t="s">
        <v>684</v>
      </c>
      <c r="C10" s="169"/>
      <c r="D10" s="170"/>
      <c r="E10" s="170"/>
      <c r="F10" s="170"/>
      <c r="G10" s="170"/>
      <c r="H10" s="170"/>
      <c r="I10" s="170"/>
      <c r="J10" s="170"/>
      <c r="K10" s="188"/>
    </row>
    <row r="11" spans="1:11" ht="18" customHeight="1">
      <c r="A11" s="141" t="s">
        <v>685</v>
      </c>
      <c r="B11" s="171" t="s">
        <v>686</v>
      </c>
      <c r="C11" s="172"/>
      <c r="D11" s="173"/>
      <c r="E11" s="173"/>
      <c r="F11" s="173"/>
      <c r="G11" s="173"/>
      <c r="H11" s="173"/>
      <c r="I11" s="173"/>
      <c r="J11" s="173"/>
      <c r="K11" s="187"/>
    </row>
    <row r="12" spans="1:11" ht="18" customHeight="1">
      <c r="A12" s="136" t="s">
        <v>687</v>
      </c>
      <c r="B12" s="168" t="s">
        <v>688</v>
      </c>
      <c r="C12" s="174"/>
      <c r="D12" s="175"/>
      <c r="E12" s="175"/>
      <c r="F12" s="175"/>
      <c r="G12" s="175"/>
      <c r="H12" s="175"/>
      <c r="I12" s="175"/>
      <c r="J12" s="175"/>
      <c r="K12" s="189"/>
    </row>
    <row r="13" spans="1:11" ht="18" customHeight="1">
      <c r="A13" s="141" t="s">
        <v>689</v>
      </c>
      <c r="B13" s="176" t="s">
        <v>690</v>
      </c>
      <c r="C13" s="177"/>
      <c r="D13" s="178"/>
      <c r="E13" s="178"/>
      <c r="F13" s="178"/>
      <c r="G13" s="178"/>
      <c r="H13" s="178"/>
      <c r="I13" s="178"/>
      <c r="J13" s="178"/>
      <c r="K13" s="190"/>
    </row>
    <row r="14" spans="1:11" ht="18" customHeight="1">
      <c r="A14" s="136" t="s">
        <v>691</v>
      </c>
      <c r="B14" s="179" t="s">
        <v>657</v>
      </c>
      <c r="C14" s="180"/>
      <c r="D14" s="181"/>
      <c r="E14" s="181"/>
      <c r="F14" s="181"/>
      <c r="G14" s="181"/>
      <c r="H14" s="181"/>
      <c r="I14" s="181"/>
      <c r="J14" s="181"/>
      <c r="K14" s="191"/>
    </row>
    <row r="15" spans="1:11" ht="18" customHeight="1">
      <c r="A15" s="158" t="s">
        <v>692</v>
      </c>
      <c r="B15" s="182" t="s">
        <v>659</v>
      </c>
      <c r="C15" s="183"/>
      <c r="D15" s="184"/>
      <c r="E15" s="184"/>
      <c r="F15" s="184"/>
      <c r="G15" s="184"/>
      <c r="H15" s="184"/>
      <c r="I15" s="184"/>
      <c r="J15" s="184"/>
      <c r="K15" s="192"/>
    </row>
  </sheetData>
  <mergeCells count="5">
    <mergeCell ref="D3:J3"/>
    <mergeCell ref="B3:B4"/>
    <mergeCell ref="C3:C4"/>
    <mergeCell ref="K3:K4"/>
    <mergeCell ref="B1:K2"/>
  </mergeCells>
  <phoneticPr fontId="43" type="noConversion"/>
  <dataValidations count="1">
    <dataValidation type="list" allowBlank="1" showInputMessage="1" showErrorMessage="1" sqref="B5">
      <formula1>"直接开发成本,直接成本(扣除土地),土地成本,建安成本,基础设施成本,公共配套设施成本"</formula1>
    </dataValidation>
  </dataValidation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GridLines="0" workbookViewId="0">
      <pane xSplit="2" ySplit="4" topLeftCell="C5" activePane="bottomRight" state="frozenSplit"/>
      <selection pane="topRight"/>
      <selection pane="bottomLeft"/>
      <selection pane="bottomRight" activeCell="B1" sqref="B1:H2"/>
    </sheetView>
  </sheetViews>
  <sheetFormatPr defaultColWidth="9" defaultRowHeight="13.5"/>
  <cols>
    <col min="1" max="1" width="32.625" hidden="1" customWidth="1"/>
    <col min="2" max="2" width="24" customWidth="1"/>
    <col min="3" max="8" width="18.625" customWidth="1"/>
  </cols>
  <sheetData>
    <row r="1" spans="1:8" ht="28.15" customHeight="1">
      <c r="B1" s="1291" t="s">
        <v>1105</v>
      </c>
      <c r="C1" s="1077"/>
      <c r="D1" s="1077"/>
      <c r="E1" s="1077"/>
      <c r="F1" s="1077"/>
      <c r="G1" s="1077"/>
      <c r="H1" s="1077"/>
    </row>
    <row r="2" spans="1:8" ht="28.15" customHeight="1">
      <c r="B2" s="1078"/>
      <c r="C2" s="1078"/>
      <c r="D2" s="1078"/>
      <c r="E2" s="1078"/>
      <c r="F2" s="1078"/>
      <c r="G2" s="1078"/>
      <c r="H2" s="1078"/>
    </row>
    <row r="3" spans="1:8" ht="18" customHeight="1">
      <c r="A3" s="128"/>
      <c r="B3" s="1285" t="s">
        <v>135</v>
      </c>
      <c r="C3" s="1287" t="s">
        <v>670</v>
      </c>
      <c r="D3" s="1284"/>
      <c r="E3" s="1284"/>
      <c r="F3" s="1284"/>
      <c r="G3" s="1284"/>
      <c r="H3" s="1289" t="s">
        <v>669</v>
      </c>
    </row>
    <row r="4" spans="1:8" ht="18" customHeight="1">
      <c r="A4" s="129"/>
      <c r="B4" s="1286"/>
      <c r="C4" s="1288"/>
      <c r="D4" s="130">
        <v>-0.15</v>
      </c>
      <c r="E4" s="130">
        <v>-0.1</v>
      </c>
      <c r="F4" s="130">
        <v>-0.05</v>
      </c>
      <c r="G4" s="130">
        <v>0</v>
      </c>
      <c r="H4" s="1290"/>
    </row>
    <row r="5" spans="1:8" ht="18" customHeight="1">
      <c r="A5" s="131" t="str">
        <f>IF(B5="整体销售率","SRCS_HeJi_ZongHuiKuanE",IF(B5="整体住宅销售率","SRCS_Zong_ZhuZhai_HeJi_HuiKuanE",IF(B5="一期普宅销售率","SRCS_QS:一期_ZhuZhai_LX:普宅_XiaoShouLv",IF(B5="一期非普宅销售率","SRCS_QS:一期_ZhuZhai_LX:非普宅_XiaoShouLv",""))))</f>
        <v>SRCS_Zong_ZhuZhai_HeJi_HuiKuanE</v>
      </c>
      <c r="B5" s="132" t="s">
        <v>1106</v>
      </c>
      <c r="C5" s="133"/>
      <c r="D5" s="134"/>
      <c r="E5" s="134"/>
      <c r="F5" s="134"/>
      <c r="G5" s="134"/>
      <c r="H5" s="135"/>
    </row>
    <row r="6" spans="1:8" ht="18" customHeight="1">
      <c r="A6" s="136" t="s">
        <v>675</v>
      </c>
      <c r="B6" s="137" t="s">
        <v>676</v>
      </c>
      <c r="C6" s="138"/>
      <c r="D6" s="139"/>
      <c r="E6" s="139"/>
      <c r="F6" s="139"/>
      <c r="G6" s="139"/>
      <c r="H6" s="140"/>
    </row>
    <row r="7" spans="1:8" ht="18" customHeight="1">
      <c r="A7" s="141" t="s">
        <v>677</v>
      </c>
      <c r="B7" s="142" t="s">
        <v>678</v>
      </c>
      <c r="C7" s="143"/>
      <c r="D7" s="144"/>
      <c r="E7" s="144"/>
      <c r="F7" s="144"/>
      <c r="G7" s="144"/>
      <c r="H7" s="145"/>
    </row>
    <row r="8" spans="1:8" ht="18" customHeight="1">
      <c r="A8" s="136" t="s">
        <v>679</v>
      </c>
      <c r="B8" s="137" t="s">
        <v>680</v>
      </c>
      <c r="C8" s="138"/>
      <c r="D8" s="139"/>
      <c r="E8" s="139"/>
      <c r="F8" s="139"/>
      <c r="G8" s="139"/>
      <c r="H8" s="146"/>
    </row>
    <row r="9" spans="1:8" ht="18" customHeight="1">
      <c r="A9" s="141" t="s">
        <v>681</v>
      </c>
      <c r="B9" s="142" t="s">
        <v>682</v>
      </c>
      <c r="C9" s="143"/>
      <c r="D9" s="144"/>
      <c r="E9" s="144"/>
      <c r="F9" s="144"/>
      <c r="G9" s="144"/>
      <c r="H9" s="145"/>
    </row>
    <row r="10" spans="1:8" ht="18" customHeight="1">
      <c r="A10" s="136" t="s">
        <v>683</v>
      </c>
      <c r="B10" s="137" t="s">
        <v>684</v>
      </c>
      <c r="C10" s="138"/>
      <c r="D10" s="139"/>
      <c r="E10" s="139"/>
      <c r="F10" s="139"/>
      <c r="G10" s="139"/>
      <c r="H10" s="146"/>
    </row>
    <row r="11" spans="1:8" ht="18" customHeight="1">
      <c r="A11" s="141" t="s">
        <v>685</v>
      </c>
      <c r="B11" s="142" t="s">
        <v>686</v>
      </c>
      <c r="C11" s="143"/>
      <c r="D11" s="144"/>
      <c r="E11" s="144"/>
      <c r="F11" s="144"/>
      <c r="G11" s="144"/>
      <c r="H11" s="145"/>
    </row>
    <row r="12" spans="1:8" ht="18" customHeight="1">
      <c r="A12" s="136" t="s">
        <v>687</v>
      </c>
      <c r="B12" s="137" t="s">
        <v>688</v>
      </c>
      <c r="C12" s="147"/>
      <c r="D12" s="148"/>
      <c r="E12" s="148"/>
      <c r="F12" s="148"/>
      <c r="G12" s="148"/>
      <c r="H12" s="149"/>
    </row>
    <row r="13" spans="1:8" ht="18" customHeight="1">
      <c r="A13" s="141" t="s">
        <v>689</v>
      </c>
      <c r="B13" s="150" t="s">
        <v>690</v>
      </c>
      <c r="C13" s="151"/>
      <c r="D13" s="152"/>
      <c r="E13" s="152"/>
      <c r="F13" s="152"/>
      <c r="G13" s="152"/>
      <c r="H13" s="153"/>
    </row>
    <row r="14" spans="1:8" ht="18" customHeight="1">
      <c r="A14" s="136" t="s">
        <v>691</v>
      </c>
      <c r="B14" s="154" t="s">
        <v>657</v>
      </c>
      <c r="C14" s="155"/>
      <c r="D14" s="156"/>
      <c r="E14" s="156"/>
      <c r="F14" s="156"/>
      <c r="G14" s="156"/>
      <c r="H14" s="157"/>
    </row>
    <row r="15" spans="1:8" ht="18" customHeight="1">
      <c r="A15" s="158" t="s">
        <v>692</v>
      </c>
      <c r="B15" s="159" t="s">
        <v>659</v>
      </c>
      <c r="C15" s="160"/>
      <c r="D15" s="161"/>
      <c r="E15" s="161"/>
      <c r="F15" s="161"/>
      <c r="G15" s="161"/>
      <c r="H15" s="162"/>
    </row>
  </sheetData>
  <mergeCells count="5">
    <mergeCell ref="D3:G3"/>
    <mergeCell ref="B3:B4"/>
    <mergeCell ref="C3:C4"/>
    <mergeCell ref="H3:H4"/>
    <mergeCell ref="B1:H2"/>
  </mergeCells>
  <phoneticPr fontId="43" type="noConversion"/>
  <dataValidations count="1">
    <dataValidation type="list" allowBlank="1" showInputMessage="1" showErrorMessage="1" promptTitle="选择销售率" sqref="B5">
      <formula1>"整体住宅销售率,整体销售率,一期普宅销售率,一期非普宅销售率"</formula1>
    </dataValidation>
  </dataValidations>
  <pageMargins left="0.7" right="0.7" top="0.75" bottom="0.75" header="0.3" footer="0.3"/>
  <pageSetup paperSize="9" orientation="portrait" horizontalDpi="1200" verticalDpi="12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
  <sheetViews>
    <sheetView showGridLines="0" workbookViewId="0">
      <pane xSplit="2" ySplit="5" topLeftCell="J6" activePane="bottomRight" state="frozenSplit"/>
      <selection pane="topRight"/>
      <selection pane="bottomLeft"/>
      <selection pane="bottomRight" activeCell="A4" sqref="A4:XFD4"/>
    </sheetView>
  </sheetViews>
  <sheetFormatPr defaultColWidth="9" defaultRowHeight="13.5"/>
  <cols>
    <col min="1" max="1" width="10" customWidth="1"/>
    <col min="2" max="5" width="12.625" customWidth="1"/>
    <col min="6" max="7" width="12.625" style="12" customWidth="1"/>
    <col min="8" max="18" width="12.625" customWidth="1"/>
    <col min="19" max="19" width="12.625" style="12" customWidth="1"/>
    <col min="20" max="20" width="12.5" customWidth="1"/>
  </cols>
  <sheetData>
    <row r="1" spans="1:20" s="1" customFormat="1" ht="18.75" customHeight="1">
      <c r="A1" s="1292" t="s">
        <v>1107</v>
      </c>
      <c r="B1" s="1293"/>
      <c r="C1" s="1293"/>
      <c r="D1" s="1293"/>
      <c r="E1" s="1293"/>
      <c r="F1" s="1293"/>
      <c r="G1" s="1293"/>
      <c r="H1" s="1293"/>
      <c r="I1" s="1293"/>
      <c r="J1" s="1293"/>
      <c r="K1" s="1293"/>
      <c r="L1" s="1293"/>
      <c r="M1" s="1293"/>
      <c r="N1" s="1293"/>
      <c r="O1" s="1293"/>
      <c r="P1" s="1293"/>
      <c r="Q1" s="1293"/>
      <c r="R1" s="1293"/>
      <c r="S1" s="1293"/>
      <c r="T1" s="1095"/>
    </row>
    <row r="2" spans="1:20" s="1" customFormat="1" ht="18.75" customHeight="1">
      <c r="A2" s="1293"/>
      <c r="B2" s="1293"/>
      <c r="C2" s="1293"/>
      <c r="D2" s="1293"/>
      <c r="E2" s="1293"/>
      <c r="F2" s="1293"/>
      <c r="G2" s="1293"/>
      <c r="H2" s="1293"/>
      <c r="I2" s="1293"/>
      <c r="J2" s="1293"/>
      <c r="K2" s="1293"/>
      <c r="L2" s="1293"/>
      <c r="M2" s="1293"/>
      <c r="N2" s="1293"/>
      <c r="O2" s="1293"/>
      <c r="P2" s="1293"/>
      <c r="Q2" s="1293"/>
      <c r="R2" s="1293"/>
      <c r="S2" s="1293"/>
      <c r="T2" s="1095"/>
    </row>
    <row r="3" spans="1:20" ht="39" customHeight="1">
      <c r="A3" s="100" t="s">
        <v>1108</v>
      </c>
      <c r="B3" s="101">
        <v>1000</v>
      </c>
      <c r="C3" s="102" t="s">
        <v>1109</v>
      </c>
      <c r="D3" s="103">
        <f>当前地价</f>
        <v>270000</v>
      </c>
      <c r="E3" s="104"/>
      <c r="F3" s="105"/>
      <c r="G3" s="105"/>
      <c r="H3" s="104"/>
      <c r="I3" s="104"/>
      <c r="J3" s="104"/>
      <c r="K3" s="104"/>
      <c r="L3" s="104"/>
      <c r="M3" s="104"/>
      <c r="N3" s="104"/>
      <c r="O3" s="104"/>
      <c r="P3" s="104"/>
      <c r="Q3" s="104"/>
      <c r="R3" s="116"/>
      <c r="S3" s="117"/>
    </row>
    <row r="4" spans="1:20" hidden="1">
      <c r="B4" t="s">
        <v>753</v>
      </c>
      <c r="C4" t="s">
        <v>1110</v>
      </c>
      <c r="D4" t="s">
        <v>1111</v>
      </c>
      <c r="E4" t="s">
        <v>1112</v>
      </c>
      <c r="F4" s="12" t="s">
        <v>675</v>
      </c>
      <c r="G4" s="12" t="s">
        <v>677</v>
      </c>
      <c r="H4" t="s">
        <v>679</v>
      </c>
      <c r="I4" t="s">
        <v>681</v>
      </c>
      <c r="J4" t="s">
        <v>683</v>
      </c>
      <c r="K4" t="s">
        <v>685</v>
      </c>
      <c r="L4" t="s">
        <v>847</v>
      </c>
      <c r="M4" t="s">
        <v>687</v>
      </c>
      <c r="N4" t="s">
        <v>850</v>
      </c>
      <c r="O4" t="s">
        <v>689</v>
      </c>
      <c r="P4" t="s">
        <v>691</v>
      </c>
      <c r="Q4" t="s">
        <v>692</v>
      </c>
      <c r="R4" t="s">
        <v>854</v>
      </c>
      <c r="S4" s="12" t="s">
        <v>767</v>
      </c>
      <c r="T4" t="s">
        <v>769</v>
      </c>
    </row>
    <row r="5" spans="1:20" ht="56.25">
      <c r="A5" s="106" t="s">
        <v>448</v>
      </c>
      <c r="B5" s="21" t="s">
        <v>1113</v>
      </c>
      <c r="C5" s="21" t="s">
        <v>1114</v>
      </c>
      <c r="D5" s="21" t="s">
        <v>1115</v>
      </c>
      <c r="E5" s="21" t="s">
        <v>1116</v>
      </c>
      <c r="F5" s="22" t="s">
        <v>1117</v>
      </c>
      <c r="G5" s="22" t="s">
        <v>1118</v>
      </c>
      <c r="H5" s="21" t="s">
        <v>1119</v>
      </c>
      <c r="I5" s="21" t="s">
        <v>1120</v>
      </c>
      <c r="J5" s="21" t="s">
        <v>1121</v>
      </c>
      <c r="K5" s="21" t="s">
        <v>1122</v>
      </c>
      <c r="L5" s="21" t="s">
        <v>1123</v>
      </c>
      <c r="M5" s="21" t="s">
        <v>1124</v>
      </c>
      <c r="N5" s="21" t="s">
        <v>1125</v>
      </c>
      <c r="O5" s="21" t="s">
        <v>690</v>
      </c>
      <c r="P5" s="21" t="s">
        <v>657</v>
      </c>
      <c r="Q5" s="21" t="s">
        <v>659</v>
      </c>
      <c r="R5" s="21" t="s">
        <v>1126</v>
      </c>
      <c r="S5" s="22" t="s">
        <v>413</v>
      </c>
      <c r="T5" s="118" t="s">
        <v>623</v>
      </c>
    </row>
    <row r="6" spans="1:20" ht="18" customHeight="1">
      <c r="A6" s="23"/>
      <c r="B6" s="107"/>
      <c r="C6" s="26"/>
      <c r="D6" s="27"/>
      <c r="E6" s="108"/>
      <c r="F6" s="29"/>
      <c r="G6" s="29"/>
      <c r="H6" s="53"/>
      <c r="I6" s="53"/>
      <c r="J6" s="53"/>
      <c r="K6" s="53"/>
      <c r="L6" s="54"/>
      <c r="M6" s="54"/>
      <c r="N6" s="54"/>
      <c r="O6" s="54"/>
      <c r="P6" s="54"/>
      <c r="Q6" s="54"/>
      <c r="R6" s="119"/>
      <c r="S6" s="119"/>
      <c r="T6" s="120"/>
    </row>
    <row r="7" spans="1:20" ht="18" customHeight="1">
      <c r="A7" s="30"/>
      <c r="B7" s="109"/>
      <c r="C7" s="33"/>
      <c r="D7" s="34"/>
      <c r="E7" s="110"/>
      <c r="F7" s="36"/>
      <c r="G7" s="36"/>
      <c r="H7" s="43"/>
      <c r="I7" s="43"/>
      <c r="J7" s="43"/>
      <c r="K7" s="43"/>
      <c r="L7" s="55"/>
      <c r="M7" s="55"/>
      <c r="N7" s="55"/>
      <c r="O7" s="55"/>
      <c r="P7" s="55"/>
      <c r="Q7" s="55"/>
      <c r="R7" s="121"/>
      <c r="S7" s="121"/>
      <c r="T7" s="122"/>
    </row>
    <row r="8" spans="1:20" ht="18" customHeight="1">
      <c r="A8" s="37"/>
      <c r="B8" s="111"/>
      <c r="C8" s="40"/>
      <c r="D8" s="34"/>
      <c r="E8" s="112"/>
      <c r="F8" s="42"/>
      <c r="G8" s="42"/>
      <c r="H8" s="56"/>
      <c r="I8" s="56"/>
      <c r="J8" s="56"/>
      <c r="K8" s="56"/>
      <c r="L8" s="57"/>
      <c r="M8" s="57"/>
      <c r="N8" s="57"/>
      <c r="O8" s="57"/>
      <c r="P8" s="57"/>
      <c r="Q8" s="57"/>
      <c r="R8" s="123"/>
      <c r="S8" s="123"/>
      <c r="T8" s="124"/>
    </row>
    <row r="9" spans="1:20" ht="18" customHeight="1">
      <c r="A9" s="30"/>
      <c r="B9" s="113"/>
      <c r="C9" s="33"/>
      <c r="D9" s="34"/>
      <c r="E9" s="110"/>
      <c r="F9" s="36"/>
      <c r="G9" s="36"/>
      <c r="H9" s="43"/>
      <c r="I9" s="43"/>
      <c r="J9" s="43"/>
      <c r="K9" s="43"/>
      <c r="L9" s="55"/>
      <c r="M9" s="55"/>
      <c r="N9" s="55"/>
      <c r="O9" s="55"/>
      <c r="P9" s="55"/>
      <c r="Q9" s="55"/>
      <c r="R9" s="121"/>
      <c r="S9" s="121"/>
      <c r="T9" s="122"/>
    </row>
    <row r="10" spans="1:20" ht="18" customHeight="1">
      <c r="A10" s="44"/>
      <c r="B10" s="114"/>
      <c r="C10" s="47"/>
      <c r="D10" s="48"/>
      <c r="E10" s="115"/>
      <c r="F10" s="50"/>
      <c r="G10" s="50"/>
      <c r="H10" s="58"/>
      <c r="I10" s="58"/>
      <c r="J10" s="58"/>
      <c r="K10" s="58"/>
      <c r="L10" s="59"/>
      <c r="M10" s="59"/>
      <c r="N10" s="59"/>
      <c r="O10" s="59"/>
      <c r="P10" s="59"/>
      <c r="Q10" s="59"/>
      <c r="R10" s="125"/>
      <c r="S10" s="125"/>
      <c r="T10" s="126"/>
    </row>
  </sheetData>
  <mergeCells count="1">
    <mergeCell ref="A1:T2"/>
  </mergeCells>
  <phoneticPr fontId="43" type="noConversion"/>
  <pageMargins left="0.7" right="0.7" top="0.75" bottom="0.75" header="0.3" footer="0.3"/>
  <pageSetup paperSize="9" orientation="portrait" horizontalDpi="1200" verticalDpi="12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showGridLines="0" workbookViewId="0">
      <selection activeCell="C25" sqref="C25"/>
    </sheetView>
  </sheetViews>
  <sheetFormatPr defaultColWidth="9" defaultRowHeight="13.5"/>
  <cols>
    <col min="1" max="1" width="12.75" customWidth="1"/>
    <col min="2" max="4" width="18.625" customWidth="1"/>
  </cols>
  <sheetData>
    <row r="1" spans="1:4" ht="28.15" customHeight="1">
      <c r="A1" s="1294" t="s">
        <v>1127</v>
      </c>
      <c r="B1" s="1077"/>
      <c r="C1" s="1077"/>
      <c r="D1" s="8"/>
    </row>
    <row r="2" spans="1:4" ht="28.15" customHeight="1">
      <c r="A2" s="1077"/>
      <c r="B2" s="1077"/>
      <c r="C2" s="1077"/>
      <c r="D2" s="75" t="s">
        <v>1128</v>
      </c>
    </row>
    <row r="3" spans="1:4" hidden="1">
      <c r="A3" s="76" t="s">
        <v>689</v>
      </c>
      <c r="B3" s="77" t="s">
        <v>679</v>
      </c>
      <c r="C3" s="77" t="s">
        <v>753</v>
      </c>
      <c r="D3" s="76" t="s">
        <v>1110</v>
      </c>
    </row>
    <row r="4" spans="1:4" s="73" customFormat="1" ht="18" customHeight="1">
      <c r="A4" s="78" t="s">
        <v>1129</v>
      </c>
      <c r="B4" s="79" t="s">
        <v>627</v>
      </c>
      <c r="C4" s="80" t="s">
        <v>1130</v>
      </c>
      <c r="D4" s="81" t="s">
        <v>1131</v>
      </c>
    </row>
    <row r="5" spans="1:4" s="73" customFormat="1" ht="18" customHeight="1">
      <c r="A5" s="82">
        <v>0</v>
      </c>
      <c r="B5" s="83"/>
      <c r="C5" s="84"/>
      <c r="D5" s="85"/>
    </row>
    <row r="6" spans="1:4" s="73" customFormat="1" ht="18" customHeight="1">
      <c r="A6" s="86">
        <v>0.03</v>
      </c>
      <c r="B6" s="87"/>
      <c r="C6" s="88"/>
      <c r="D6" s="89"/>
    </row>
    <row r="7" spans="1:4" s="73" customFormat="1" ht="18" customHeight="1">
      <c r="A7" s="90">
        <v>0.05</v>
      </c>
      <c r="B7" s="91"/>
      <c r="C7" s="92"/>
      <c r="D7" s="93"/>
    </row>
    <row r="8" spans="1:4" s="73" customFormat="1" ht="18" customHeight="1">
      <c r="A8" s="86">
        <v>0.08</v>
      </c>
      <c r="B8" s="87"/>
      <c r="C8" s="88"/>
      <c r="D8" s="89"/>
    </row>
    <row r="9" spans="1:4" s="73" customFormat="1" ht="18" customHeight="1">
      <c r="A9" s="90">
        <v>0.1</v>
      </c>
      <c r="B9" s="91"/>
      <c r="C9" s="94"/>
      <c r="D9" s="93"/>
    </row>
    <row r="10" spans="1:4" s="73" customFormat="1" ht="18" customHeight="1">
      <c r="A10" s="86">
        <v>0.12</v>
      </c>
      <c r="B10" s="87"/>
      <c r="C10" s="95"/>
      <c r="D10" s="89"/>
    </row>
    <row r="11" spans="1:4" s="73" customFormat="1" ht="18" customHeight="1">
      <c r="A11" s="96">
        <v>0.15</v>
      </c>
      <c r="B11" s="97"/>
      <c r="C11" s="98"/>
      <c r="D11" s="99"/>
    </row>
  </sheetData>
  <mergeCells count="1">
    <mergeCell ref="A1:C2"/>
  </mergeCells>
  <phoneticPr fontId="43" type="noConversion"/>
  <pageMargins left="0.7" right="0.7" top="0.75" bottom="0.75" header="0.3" footer="0.3"/>
  <pageSetup paperSize="9" orientation="portrait" horizontalDpi="1200" verticalDpi="12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showGridLines="0" workbookViewId="0">
      <pane xSplit="3" ySplit="5" topLeftCell="D6" activePane="bottomRight" state="frozen"/>
      <selection pane="topRight"/>
      <selection pane="bottomLeft"/>
      <selection pane="bottomRight" activeCell="A4" sqref="A4:XFD4"/>
    </sheetView>
  </sheetViews>
  <sheetFormatPr defaultColWidth="9" defaultRowHeight="13.5"/>
  <cols>
    <col min="1" max="1" width="9.625" customWidth="1"/>
    <col min="2" max="2" width="12.625" customWidth="1"/>
    <col min="3" max="3" width="15.25" customWidth="1"/>
    <col min="4" max="4" width="15.375" customWidth="1"/>
    <col min="5" max="5" width="17.625" customWidth="1"/>
    <col min="6" max="6" width="13.75" customWidth="1"/>
    <col min="7" max="8" width="13.75" style="12" customWidth="1"/>
    <col min="9" max="17" width="12.625" customWidth="1"/>
    <col min="18" max="18" width="14.125" customWidth="1"/>
    <col min="19" max="19" width="12.625" customWidth="1"/>
    <col min="20" max="20" width="12.625" style="12" customWidth="1"/>
    <col min="21" max="21" width="12.75" customWidth="1"/>
  </cols>
  <sheetData>
    <row r="1" spans="1:21" ht="28.15" customHeight="1">
      <c r="A1" s="1292" t="s">
        <v>1132</v>
      </c>
      <c r="B1" s="1095"/>
      <c r="C1" s="1095"/>
      <c r="D1" s="1095"/>
      <c r="E1" s="1095"/>
      <c r="F1" s="1095"/>
      <c r="G1" s="1095"/>
      <c r="H1" s="1095"/>
      <c r="I1" s="1095"/>
      <c r="J1" s="1095"/>
      <c r="K1" s="1095"/>
      <c r="L1" s="1095"/>
      <c r="M1" s="1095"/>
      <c r="N1" s="1095"/>
      <c r="O1" s="1095"/>
      <c r="P1" s="1095"/>
      <c r="Q1" s="1095"/>
      <c r="R1" s="1095"/>
      <c r="S1" s="1095"/>
      <c r="T1" s="60"/>
    </row>
    <row r="2" spans="1:21" ht="28.15" customHeight="1">
      <c r="A2" s="1095"/>
      <c r="B2" s="1095"/>
      <c r="C2" s="1095"/>
      <c r="D2" s="1095"/>
      <c r="E2" s="1095"/>
      <c r="F2" s="1095"/>
      <c r="G2" s="1095"/>
      <c r="H2" s="1095"/>
      <c r="I2" s="1095"/>
      <c r="J2" s="1095"/>
      <c r="K2" s="1095"/>
      <c r="L2" s="1095"/>
      <c r="M2" s="1095"/>
      <c r="N2" s="1095"/>
      <c r="O2" s="1095"/>
      <c r="P2" s="1095"/>
      <c r="Q2" s="1095"/>
      <c r="R2" s="1095"/>
      <c r="S2" s="1095"/>
      <c r="T2" s="60"/>
    </row>
    <row r="3" spans="1:21" s="1" customFormat="1" ht="53.25" customHeight="1">
      <c r="A3" s="13" t="s">
        <v>1133</v>
      </c>
      <c r="B3" s="14"/>
      <c r="C3" s="15" t="s">
        <v>1134</v>
      </c>
      <c r="D3" s="14" t="s">
        <v>1135</v>
      </c>
      <c r="E3" s="16" t="s">
        <v>1136</v>
      </c>
      <c r="F3" s="17">
        <v>1000</v>
      </c>
      <c r="G3" s="18" t="s">
        <v>1137</v>
      </c>
      <c r="H3" s="19"/>
      <c r="I3" s="15" t="s">
        <v>1138</v>
      </c>
      <c r="J3" s="14"/>
      <c r="K3" s="15" t="s">
        <v>1139</v>
      </c>
      <c r="L3" s="51">
        <v>6.0000000000000001E-3</v>
      </c>
      <c r="M3" s="52"/>
      <c r="N3" s="52"/>
      <c r="O3" s="52"/>
      <c r="P3" s="52"/>
      <c r="Q3" s="61"/>
      <c r="T3" s="60"/>
    </row>
    <row r="4" spans="1:21" hidden="1">
      <c r="B4" t="s">
        <v>753</v>
      </c>
      <c r="C4" t="str">
        <f>IF(选中的相应减少面积的产品类型="不用从其他类型减去","",IF(选中的相应减少面积的产品类型="一期-普宅","_QS:一期_ZhuZhai_LX:普宅_",IF(选中的相应减少面积的产品类型="一期-非普宅","_QS:一期_ZhuZhai_LX:非普宅_","")))</f>
        <v/>
      </c>
      <c r="D4" t="s">
        <v>1110</v>
      </c>
      <c r="E4" t="s">
        <v>1111</v>
      </c>
      <c r="F4" t="str">
        <f>IF(C4="","GHZB_ZJZMJ_DiShang_MJ","ShengYuMianJi")</f>
        <v>GHZB_ZJZMJ_DiShang_MJ</v>
      </c>
      <c r="G4" s="12" t="s">
        <v>675</v>
      </c>
      <c r="H4" s="12" t="s">
        <v>677</v>
      </c>
      <c r="I4" t="s">
        <v>679</v>
      </c>
      <c r="J4" t="s">
        <v>681</v>
      </c>
      <c r="K4" t="s">
        <v>683</v>
      </c>
      <c r="L4" t="s">
        <v>685</v>
      </c>
      <c r="M4" t="s">
        <v>847</v>
      </c>
      <c r="N4" t="s">
        <v>687</v>
      </c>
      <c r="O4" t="s">
        <v>850</v>
      </c>
      <c r="P4" t="s">
        <v>689</v>
      </c>
      <c r="Q4" t="s">
        <v>691</v>
      </c>
      <c r="R4" t="s">
        <v>692</v>
      </c>
      <c r="S4" t="s">
        <v>854</v>
      </c>
      <c r="T4" s="12" t="s">
        <v>767</v>
      </c>
      <c r="U4" t="s">
        <v>769</v>
      </c>
    </row>
    <row r="5" spans="1:21" s="1" customFormat="1" ht="56.25">
      <c r="A5" s="20" t="s">
        <v>448</v>
      </c>
      <c r="B5" s="21" t="s">
        <v>1133</v>
      </c>
      <c r="C5" s="21" t="s">
        <v>1140</v>
      </c>
      <c r="D5" s="21" t="s">
        <v>1114</v>
      </c>
      <c r="E5" s="21" t="s">
        <v>1115</v>
      </c>
      <c r="F5" s="21" t="str">
        <f>IF(C4="","地上总建筑面积(平米)",D3&amp;"剩余面积(平米)")</f>
        <v>地上总建筑面积(平米)</v>
      </c>
      <c r="G5" s="22" t="s">
        <v>1141</v>
      </c>
      <c r="H5" s="22" t="s">
        <v>1142</v>
      </c>
      <c r="I5" s="21" t="s">
        <v>1143</v>
      </c>
      <c r="J5" s="21" t="s">
        <v>1144</v>
      </c>
      <c r="K5" s="21" t="s">
        <v>1121</v>
      </c>
      <c r="L5" s="21" t="s">
        <v>1122</v>
      </c>
      <c r="M5" s="21" t="s">
        <v>1123</v>
      </c>
      <c r="N5" s="21" t="s">
        <v>688</v>
      </c>
      <c r="O5" s="21" t="s">
        <v>1125</v>
      </c>
      <c r="P5" s="21" t="s">
        <v>690</v>
      </c>
      <c r="Q5" s="21" t="s">
        <v>657</v>
      </c>
      <c r="R5" s="62" t="s">
        <v>659</v>
      </c>
      <c r="S5" s="62" t="s">
        <v>1126</v>
      </c>
      <c r="T5" s="63" t="s">
        <v>413</v>
      </c>
      <c r="U5" s="64" t="s">
        <v>623</v>
      </c>
    </row>
    <row r="6" spans="1:21" ht="18" customHeight="1">
      <c r="A6" s="23"/>
      <c r="B6" s="24"/>
      <c r="C6" s="25"/>
      <c r="D6" s="26"/>
      <c r="E6" s="27"/>
      <c r="F6" s="28"/>
      <c r="G6" s="29"/>
      <c r="H6" s="29"/>
      <c r="I6" s="53"/>
      <c r="J6" s="53"/>
      <c r="K6" s="53"/>
      <c r="L6" s="53"/>
      <c r="M6" s="54"/>
      <c r="N6" s="54"/>
      <c r="O6" s="54"/>
      <c r="P6" s="54"/>
      <c r="Q6" s="54"/>
      <c r="R6" s="54"/>
      <c r="S6" s="65"/>
      <c r="T6" s="65"/>
      <c r="U6" s="66"/>
    </row>
    <row r="7" spans="1:21" ht="18" customHeight="1">
      <c r="A7" s="30"/>
      <c r="B7" s="31"/>
      <c r="C7" s="32"/>
      <c r="D7" s="33"/>
      <c r="E7" s="34"/>
      <c r="F7" s="35"/>
      <c r="G7" s="36"/>
      <c r="H7" s="36"/>
      <c r="I7" s="43"/>
      <c r="J7" s="43"/>
      <c r="K7" s="43"/>
      <c r="L7" s="43"/>
      <c r="M7" s="55"/>
      <c r="N7" s="55"/>
      <c r="O7" s="55"/>
      <c r="P7" s="55"/>
      <c r="Q7" s="55"/>
      <c r="R7" s="55"/>
      <c r="S7" s="67"/>
      <c r="T7" s="67"/>
      <c r="U7" s="68"/>
    </row>
    <row r="8" spans="1:21" ht="18" customHeight="1">
      <c r="A8" s="37"/>
      <c r="B8" s="38"/>
      <c r="C8" s="39"/>
      <c r="D8" s="40"/>
      <c r="E8" s="34"/>
      <c r="F8" s="41"/>
      <c r="G8" s="42"/>
      <c r="H8" s="42"/>
      <c r="I8" s="56"/>
      <c r="J8" s="56"/>
      <c r="K8" s="56"/>
      <c r="L8" s="56"/>
      <c r="M8" s="57"/>
      <c r="N8" s="57"/>
      <c r="O8" s="57"/>
      <c r="P8" s="57"/>
      <c r="Q8" s="57"/>
      <c r="R8" s="57"/>
      <c r="S8" s="69"/>
      <c r="T8" s="69"/>
      <c r="U8" s="70"/>
    </row>
    <row r="9" spans="1:21" ht="18" customHeight="1">
      <c r="A9" s="30"/>
      <c r="B9" s="43"/>
      <c r="C9" s="32"/>
      <c r="D9" s="33"/>
      <c r="E9" s="34"/>
      <c r="F9" s="35"/>
      <c r="G9" s="36"/>
      <c r="H9" s="36"/>
      <c r="I9" s="43"/>
      <c r="J9" s="43"/>
      <c r="K9" s="43"/>
      <c r="L9" s="43"/>
      <c r="M9" s="55"/>
      <c r="N9" s="55"/>
      <c r="O9" s="55"/>
      <c r="P9" s="55"/>
      <c r="Q9" s="55"/>
      <c r="R9" s="55"/>
      <c r="S9" s="67"/>
      <c r="T9" s="67"/>
      <c r="U9" s="68"/>
    </row>
    <row r="10" spans="1:21" ht="18" customHeight="1">
      <c r="A10" s="44"/>
      <c r="B10" s="45"/>
      <c r="C10" s="46"/>
      <c r="D10" s="47"/>
      <c r="E10" s="48"/>
      <c r="F10" s="49"/>
      <c r="G10" s="50"/>
      <c r="H10" s="50"/>
      <c r="I10" s="58"/>
      <c r="J10" s="58"/>
      <c r="K10" s="58"/>
      <c r="L10" s="58"/>
      <c r="M10" s="59"/>
      <c r="N10" s="59"/>
      <c r="O10" s="59"/>
      <c r="P10" s="59"/>
      <c r="Q10" s="59"/>
      <c r="R10" s="59"/>
      <c r="S10" s="71"/>
      <c r="T10" s="71"/>
      <c r="U10" s="72"/>
    </row>
  </sheetData>
  <mergeCells count="1">
    <mergeCell ref="A1:S2"/>
  </mergeCells>
  <phoneticPr fontId="43" type="noConversion"/>
  <dataValidations count="1">
    <dataValidation type="list" allowBlank="1" showInputMessage="1" showErrorMessage="1" promptTitle="选择相应减少的产品类型" sqref="D3">
      <formula1>"不用从其他类型减去,一期-普宅,一期-非普宅"</formula1>
    </dataValidation>
  </dataValidations>
  <pageMargins left="0.7" right="0.7" top="0.75" bottom="0.75" header="0.3" footer="0.3"/>
  <pageSetup paperSize="9" orientation="portrait" horizontalDpi="1200" verticalDpi="12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showGridLines="0" workbookViewId="0">
      <selection activeCell="E4" sqref="E4"/>
    </sheetView>
  </sheetViews>
  <sheetFormatPr defaultColWidth="9" defaultRowHeight="13.5"/>
  <cols>
    <col min="1" max="8" width="11.625" customWidth="1"/>
  </cols>
  <sheetData>
    <row r="1" spans="1:8" ht="28.15" customHeight="1">
      <c r="A1" s="1295" t="s">
        <v>1145</v>
      </c>
      <c r="B1" s="1033"/>
      <c r="C1" s="1033"/>
      <c r="D1" s="1033"/>
      <c r="E1" s="1033"/>
      <c r="F1" s="1033"/>
      <c r="G1" s="1033"/>
      <c r="H1" s="1033"/>
    </row>
    <row r="2" spans="1:8" ht="28.15" customHeight="1">
      <c r="A2" s="1296"/>
      <c r="B2" s="1296"/>
      <c r="C2" s="1296"/>
      <c r="D2" s="1296"/>
      <c r="E2" s="1296"/>
      <c r="F2" s="1296"/>
      <c r="G2" s="1296"/>
      <c r="H2" s="1296"/>
    </row>
    <row r="3" spans="1:8" ht="33" customHeight="1">
      <c r="A3" s="9" t="s">
        <v>272</v>
      </c>
      <c r="B3" s="9" t="s">
        <v>1146</v>
      </c>
      <c r="C3" s="9" t="s">
        <v>1147</v>
      </c>
      <c r="D3" s="9" t="s">
        <v>1148</v>
      </c>
      <c r="E3" s="9" t="s">
        <v>1149</v>
      </c>
      <c r="F3" s="9" t="s">
        <v>1150</v>
      </c>
      <c r="G3" s="9" t="s">
        <v>1151</v>
      </c>
      <c r="H3" s="9" t="s">
        <v>1152</v>
      </c>
    </row>
    <row r="4" spans="1:8" ht="18" customHeight="1">
      <c r="A4" s="10" t="s">
        <v>1153</v>
      </c>
      <c r="B4" s="10"/>
      <c r="C4" s="10"/>
      <c r="D4" s="10"/>
      <c r="E4" s="10"/>
      <c r="F4" s="10"/>
      <c r="G4" s="10"/>
      <c r="H4" s="10"/>
    </row>
    <row r="5" spans="1:8" ht="18" customHeight="1">
      <c r="A5" s="10" t="s">
        <v>1153</v>
      </c>
      <c r="B5" s="10"/>
      <c r="C5" s="10"/>
      <c r="D5" s="10"/>
      <c r="E5" s="10"/>
      <c r="F5" s="10"/>
      <c r="G5" s="10"/>
      <c r="H5" s="10"/>
    </row>
    <row r="6" spans="1:8" ht="18" customHeight="1">
      <c r="A6" s="11" t="s">
        <v>133</v>
      </c>
      <c r="B6" s="10"/>
      <c r="C6" s="10"/>
      <c r="D6" s="10"/>
      <c r="E6" s="10"/>
      <c r="F6" s="10"/>
      <c r="G6" s="10"/>
      <c r="H6" s="10"/>
    </row>
    <row r="7" spans="1:8" ht="18" customHeight="1">
      <c r="A7" s="10" t="s">
        <v>1153</v>
      </c>
      <c r="B7" s="10"/>
      <c r="C7" s="10"/>
      <c r="D7" s="10"/>
      <c r="E7" s="10"/>
      <c r="F7" s="10"/>
      <c r="G7" s="10"/>
      <c r="H7" s="10"/>
    </row>
  </sheetData>
  <mergeCells count="1">
    <mergeCell ref="A1:H2"/>
  </mergeCells>
  <phoneticPr fontId="43" type="noConversion"/>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6"/>
  <sheetViews>
    <sheetView showGridLines="0" workbookViewId="0"/>
  </sheetViews>
  <sheetFormatPr defaultColWidth="9" defaultRowHeight="13.5"/>
  <sheetData>
    <row r="1" spans="1:7" ht="18.75">
      <c r="A1" s="956"/>
      <c r="B1" s="1036" t="s">
        <v>122</v>
      </c>
      <c r="C1" s="1036"/>
      <c r="D1" s="1036"/>
      <c r="E1" s="1036"/>
      <c r="F1" s="1036"/>
      <c r="G1" s="1036"/>
    </row>
    <row r="2" spans="1:7" ht="18.75">
      <c r="A2" s="956"/>
      <c r="B2" s="1037"/>
      <c r="C2" s="1037"/>
      <c r="D2" s="1037"/>
      <c r="E2" s="1037"/>
      <c r="F2" s="1037"/>
      <c r="G2" s="1037"/>
    </row>
    <row r="3" spans="1:7" ht="14.25">
      <c r="A3" s="957"/>
      <c r="B3" s="1038" t="s">
        <v>123</v>
      </c>
      <c r="C3" s="1038"/>
      <c r="D3" s="1038"/>
      <c r="E3" s="1038"/>
      <c r="F3" s="1038"/>
      <c r="G3" s="1038"/>
    </row>
    <row r="4" spans="1:7" ht="28.5">
      <c r="A4" s="957"/>
      <c r="B4" s="959" t="s">
        <v>124</v>
      </c>
      <c r="C4" s="959" t="s">
        <v>125</v>
      </c>
      <c r="D4" s="959" t="s">
        <v>126</v>
      </c>
      <c r="E4" s="959" t="s">
        <v>127</v>
      </c>
      <c r="F4" s="959" t="s">
        <v>128</v>
      </c>
      <c r="G4" s="959" t="s">
        <v>129</v>
      </c>
    </row>
    <row r="5" spans="1:7" ht="14.25">
      <c r="A5" s="957"/>
      <c r="B5" s="959" t="s">
        <v>130</v>
      </c>
      <c r="C5" s="959"/>
      <c r="D5" s="959"/>
      <c r="E5" s="959"/>
      <c r="F5" s="959" t="s">
        <v>131</v>
      </c>
      <c r="G5" s="959"/>
    </row>
    <row r="6" spans="1:7" ht="14.25">
      <c r="A6" s="957"/>
      <c r="B6" s="959" t="s">
        <v>132</v>
      </c>
      <c r="C6" s="959"/>
      <c r="D6" s="959"/>
      <c r="E6" s="959"/>
      <c r="F6" s="959" t="s">
        <v>131</v>
      </c>
      <c r="G6" s="960"/>
    </row>
    <row r="7" spans="1:7" ht="14.25">
      <c r="A7" s="957"/>
      <c r="B7" s="959" t="s">
        <v>133</v>
      </c>
      <c r="C7" s="959"/>
      <c r="D7" s="959"/>
      <c r="E7" s="959"/>
      <c r="F7" s="959"/>
      <c r="G7" s="960"/>
    </row>
    <row r="8" spans="1:7" ht="14.25">
      <c r="A8" s="957"/>
      <c r="B8" s="1038" t="s">
        <v>134</v>
      </c>
      <c r="C8" s="1038"/>
      <c r="D8" s="1038"/>
      <c r="E8" s="1038"/>
      <c r="F8" s="1038"/>
      <c r="G8" s="1038"/>
    </row>
    <row r="9" spans="1:7" ht="42.75">
      <c r="A9" s="957"/>
      <c r="B9" s="959" t="s">
        <v>135</v>
      </c>
      <c r="C9" s="1035" t="s">
        <v>136</v>
      </c>
      <c r="D9" s="1035"/>
      <c r="E9" s="959" t="s">
        <v>137</v>
      </c>
      <c r="F9" s="959" t="s">
        <v>138</v>
      </c>
      <c r="G9" s="959" t="s">
        <v>139</v>
      </c>
    </row>
    <row r="10" spans="1:7" ht="14.25">
      <c r="A10" s="957"/>
      <c r="B10" s="1042" t="s">
        <v>130</v>
      </c>
      <c r="C10" s="1043"/>
      <c r="D10" s="1043"/>
      <c r="E10" s="1043"/>
      <c r="F10" s="1043"/>
      <c r="G10" s="1044"/>
    </row>
    <row r="11" spans="1:7" ht="14.25">
      <c r="A11" s="957"/>
      <c r="B11" s="1035" t="s">
        <v>140</v>
      </c>
      <c r="C11" s="959" t="s">
        <v>141</v>
      </c>
      <c r="D11" s="959"/>
      <c r="E11" s="1035" t="s">
        <v>142</v>
      </c>
      <c r="F11" s="958" t="s">
        <v>143</v>
      </c>
      <c r="G11" s="960"/>
    </row>
    <row r="12" spans="1:7" ht="14.25">
      <c r="A12" s="957"/>
      <c r="B12" s="1035"/>
      <c r="C12" s="959" t="s">
        <v>144</v>
      </c>
      <c r="D12" s="959"/>
      <c r="E12" s="1035"/>
      <c r="F12" s="958" t="s">
        <v>145</v>
      </c>
      <c r="G12" s="960"/>
    </row>
    <row r="13" spans="1:7" ht="28.5">
      <c r="A13" s="957"/>
      <c r="B13" s="1035"/>
      <c r="C13" s="959"/>
      <c r="D13" s="959"/>
      <c r="E13" s="1035"/>
      <c r="F13" s="958" t="s">
        <v>146</v>
      </c>
      <c r="G13" s="960"/>
    </row>
    <row r="14" spans="1:7" ht="42.75">
      <c r="A14" s="957"/>
      <c r="B14" s="1035"/>
      <c r="C14" s="959"/>
      <c r="D14" s="959"/>
      <c r="E14" s="958" t="s">
        <v>147</v>
      </c>
      <c r="F14" s="958" t="s">
        <v>148</v>
      </c>
      <c r="G14" s="960"/>
    </row>
    <row r="15" spans="1:7" ht="14.25">
      <c r="A15" s="957"/>
      <c r="B15" s="1039" t="s">
        <v>149</v>
      </c>
      <c r="C15" s="1039" t="s">
        <v>150</v>
      </c>
      <c r="D15" s="1039" t="s">
        <v>151</v>
      </c>
      <c r="E15" s="958" t="s">
        <v>152</v>
      </c>
      <c r="F15" s="958"/>
      <c r="G15" s="960"/>
    </row>
    <row r="16" spans="1:7" ht="14.25">
      <c r="A16" s="957"/>
      <c r="B16" s="1040"/>
      <c r="C16" s="1040"/>
      <c r="D16" s="1040"/>
      <c r="E16" s="958" t="s">
        <v>153</v>
      </c>
      <c r="F16" s="958"/>
      <c r="G16" s="960"/>
    </row>
    <row r="17" spans="1:7" ht="14.25">
      <c r="A17" s="957"/>
      <c r="B17" s="1040"/>
      <c r="C17" s="1040"/>
      <c r="D17" s="1041"/>
      <c r="E17" s="958" t="s">
        <v>154</v>
      </c>
      <c r="F17" s="958"/>
      <c r="G17" s="960"/>
    </row>
    <row r="18" spans="1:7" ht="14.25">
      <c r="A18" s="957"/>
      <c r="B18" s="1040"/>
      <c r="C18" s="1040"/>
      <c r="D18" s="1039" t="s">
        <v>155</v>
      </c>
      <c r="E18" s="958" t="s">
        <v>156</v>
      </c>
      <c r="F18" s="958"/>
      <c r="G18" s="960"/>
    </row>
    <row r="19" spans="1:7" ht="14.25">
      <c r="A19" s="957"/>
      <c r="B19" s="1040"/>
      <c r="C19" s="1040"/>
      <c r="D19" s="1040"/>
      <c r="E19" s="958" t="s">
        <v>152</v>
      </c>
      <c r="F19" s="958"/>
      <c r="G19" s="960"/>
    </row>
    <row r="20" spans="1:7" ht="14.25">
      <c r="A20" s="957"/>
      <c r="B20" s="1040"/>
      <c r="C20" s="1040"/>
      <c r="D20" s="1040"/>
      <c r="E20" s="958" t="s">
        <v>153</v>
      </c>
      <c r="F20" s="958"/>
      <c r="G20" s="960"/>
    </row>
    <row r="21" spans="1:7" ht="14.25">
      <c r="A21" s="957"/>
      <c r="B21" s="1040"/>
      <c r="C21" s="1040"/>
      <c r="D21" s="1041"/>
      <c r="E21" s="958" t="s">
        <v>154</v>
      </c>
      <c r="F21" s="958"/>
      <c r="G21" s="960"/>
    </row>
    <row r="22" spans="1:7" ht="14.25">
      <c r="A22" s="957"/>
      <c r="B22" s="1040"/>
      <c r="C22" s="1040"/>
      <c r="D22" s="1039" t="s">
        <v>157</v>
      </c>
      <c r="E22" s="958" t="s">
        <v>156</v>
      </c>
      <c r="F22" s="958"/>
      <c r="G22" s="960"/>
    </row>
    <row r="23" spans="1:7" ht="14.25">
      <c r="A23" s="957"/>
      <c r="B23" s="1040"/>
      <c r="C23" s="1040"/>
      <c r="D23" s="1040"/>
      <c r="E23" s="958" t="s">
        <v>152</v>
      </c>
      <c r="F23" s="958"/>
      <c r="G23" s="960"/>
    </row>
    <row r="24" spans="1:7" ht="14.25">
      <c r="A24" s="957"/>
      <c r="B24" s="1040"/>
      <c r="C24" s="1040"/>
      <c r="D24" s="1040"/>
      <c r="E24" s="958" t="s">
        <v>153</v>
      </c>
      <c r="F24" s="958"/>
      <c r="G24" s="960"/>
    </row>
    <row r="25" spans="1:7" ht="14.25">
      <c r="A25" s="957"/>
      <c r="B25" s="1040"/>
      <c r="C25" s="1040"/>
      <c r="D25" s="1040"/>
      <c r="E25" s="958" t="s">
        <v>154</v>
      </c>
      <c r="F25" s="958"/>
      <c r="G25" s="960"/>
    </row>
    <row r="26" spans="1:7" ht="14.25">
      <c r="A26" s="957"/>
      <c r="B26" s="1040"/>
      <c r="C26" s="1040"/>
      <c r="D26" s="1041"/>
      <c r="E26" s="958" t="s">
        <v>158</v>
      </c>
      <c r="F26" s="958"/>
      <c r="G26" s="960"/>
    </row>
    <row r="27" spans="1:7" ht="14.25">
      <c r="A27" s="957"/>
      <c r="B27" s="1040"/>
      <c r="C27" s="1040"/>
      <c r="D27" s="1039" t="s">
        <v>159</v>
      </c>
      <c r="E27" s="958" t="s">
        <v>156</v>
      </c>
      <c r="F27" s="958"/>
      <c r="G27" s="960"/>
    </row>
    <row r="28" spans="1:7" ht="14.25">
      <c r="A28" s="957"/>
      <c r="B28" s="1040"/>
      <c r="C28" s="1040"/>
      <c r="D28" s="1040"/>
      <c r="E28" s="958" t="s">
        <v>152</v>
      </c>
      <c r="F28" s="958"/>
      <c r="G28" s="960"/>
    </row>
    <row r="29" spans="1:7" ht="14.25">
      <c r="A29" s="957"/>
      <c r="B29" s="1040"/>
      <c r="C29" s="1040"/>
      <c r="D29" s="1040"/>
      <c r="E29" s="958" t="s">
        <v>153</v>
      </c>
      <c r="F29" s="958"/>
      <c r="G29" s="960"/>
    </row>
    <row r="30" spans="1:7" ht="14.25">
      <c r="A30" s="957"/>
      <c r="B30" s="1040"/>
      <c r="C30" s="1040"/>
      <c r="D30" s="1040"/>
      <c r="E30" s="958" t="s">
        <v>154</v>
      </c>
      <c r="F30" s="958"/>
      <c r="G30" s="960"/>
    </row>
    <row r="31" spans="1:7" ht="14.25">
      <c r="A31" s="957"/>
      <c r="B31" s="1040"/>
      <c r="C31" s="1041"/>
      <c r="D31" s="1041"/>
      <c r="E31" s="958" t="s">
        <v>160</v>
      </c>
      <c r="F31" s="958"/>
      <c r="G31" s="960"/>
    </row>
    <row r="32" spans="1:7" ht="14.25">
      <c r="A32" s="957"/>
      <c r="B32" s="1040"/>
      <c r="C32" s="1035" t="s">
        <v>161</v>
      </c>
      <c r="D32" s="1038" t="s">
        <v>162</v>
      </c>
      <c r="E32" s="958" t="s">
        <v>152</v>
      </c>
      <c r="F32" s="958"/>
      <c r="G32" s="960"/>
    </row>
    <row r="33" spans="1:7" ht="14.25">
      <c r="A33" s="957"/>
      <c r="B33" s="1040"/>
      <c r="C33" s="1035"/>
      <c r="D33" s="1038"/>
      <c r="E33" s="958" t="s">
        <v>153</v>
      </c>
      <c r="F33" s="958"/>
      <c r="G33" s="960"/>
    </row>
    <row r="34" spans="1:7" ht="14.25">
      <c r="A34" s="957"/>
      <c r="B34" s="1040"/>
      <c r="C34" s="1035"/>
      <c r="D34" s="1038"/>
      <c r="E34" s="958" t="s">
        <v>163</v>
      </c>
      <c r="F34" s="958"/>
      <c r="G34" s="960"/>
    </row>
    <row r="35" spans="1:7" ht="14.25">
      <c r="A35" s="957"/>
      <c r="B35" s="1040"/>
      <c r="C35" s="1035"/>
      <c r="D35" s="1038"/>
      <c r="E35" s="958" t="s">
        <v>164</v>
      </c>
      <c r="F35" s="958"/>
      <c r="G35" s="960"/>
    </row>
    <row r="36" spans="1:7" ht="14.25">
      <c r="A36" s="957"/>
      <c r="B36" s="1040"/>
      <c r="C36" s="1035"/>
      <c r="D36" s="1038" t="s">
        <v>165</v>
      </c>
      <c r="E36" s="958" t="s">
        <v>152</v>
      </c>
      <c r="F36" s="958"/>
      <c r="G36" s="960"/>
    </row>
    <row r="37" spans="1:7" ht="14.25">
      <c r="A37" s="957"/>
      <c r="B37" s="1040"/>
      <c r="C37" s="1035"/>
      <c r="D37" s="1038"/>
      <c r="E37" s="958" t="s">
        <v>153</v>
      </c>
      <c r="F37" s="958"/>
      <c r="G37" s="960"/>
    </row>
    <row r="38" spans="1:7" ht="14.25">
      <c r="A38" s="957"/>
      <c r="B38" s="1040"/>
      <c r="C38" s="1035"/>
      <c r="D38" s="1038"/>
      <c r="E38" s="958" t="s">
        <v>163</v>
      </c>
      <c r="F38" s="958"/>
      <c r="G38" s="960"/>
    </row>
    <row r="39" spans="1:7" ht="14.25">
      <c r="A39" s="957"/>
      <c r="B39" s="1040"/>
      <c r="C39" s="1035"/>
      <c r="D39" s="1038"/>
      <c r="E39" s="958" t="s">
        <v>154</v>
      </c>
      <c r="F39" s="958"/>
      <c r="G39" s="960"/>
    </row>
    <row r="40" spans="1:7" ht="14.25">
      <c r="A40" s="957"/>
      <c r="B40" s="1040"/>
      <c r="C40" s="1035"/>
      <c r="D40" s="1038" t="s">
        <v>166</v>
      </c>
      <c r="E40" s="958" t="s">
        <v>152</v>
      </c>
      <c r="F40" s="958"/>
      <c r="G40" s="960"/>
    </row>
    <row r="41" spans="1:7" ht="14.25">
      <c r="A41" s="957"/>
      <c r="B41" s="1040"/>
      <c r="C41" s="1035"/>
      <c r="D41" s="1038"/>
      <c r="E41" s="958" t="s">
        <v>153</v>
      </c>
      <c r="F41" s="958"/>
      <c r="G41" s="960"/>
    </row>
    <row r="42" spans="1:7" ht="14.25">
      <c r="A42" s="957"/>
      <c r="B42" s="1040"/>
      <c r="C42" s="1035"/>
      <c r="D42" s="1038"/>
      <c r="E42" s="958" t="s">
        <v>163</v>
      </c>
      <c r="F42" s="958"/>
      <c r="G42" s="960"/>
    </row>
    <row r="43" spans="1:7" ht="14.25">
      <c r="A43" s="957"/>
      <c r="B43" s="1041"/>
      <c r="C43" s="1035"/>
      <c r="D43" s="1038"/>
      <c r="E43" s="958" t="s">
        <v>154</v>
      </c>
      <c r="F43" s="958"/>
      <c r="G43" s="960"/>
    </row>
    <row r="44" spans="1:7" ht="14.25">
      <c r="A44" s="957"/>
      <c r="B44" s="1038" t="s">
        <v>167</v>
      </c>
      <c r="C44" s="1035" t="s">
        <v>161</v>
      </c>
      <c r="D44" s="1038" t="s">
        <v>168</v>
      </c>
      <c r="E44" s="958" t="s">
        <v>152</v>
      </c>
      <c r="F44" s="958"/>
      <c r="G44" s="960"/>
    </row>
    <row r="45" spans="1:7" ht="14.25">
      <c r="A45" s="957"/>
      <c r="B45" s="1038"/>
      <c r="C45" s="1035"/>
      <c r="D45" s="1038"/>
      <c r="E45" s="958" t="s">
        <v>153</v>
      </c>
      <c r="F45" s="958"/>
      <c r="G45" s="960"/>
    </row>
    <row r="46" spans="1:7" ht="14.25">
      <c r="A46" s="957"/>
      <c r="B46" s="1038"/>
      <c r="C46" s="1035"/>
      <c r="D46" s="1038"/>
      <c r="E46" s="958" t="s">
        <v>163</v>
      </c>
      <c r="F46" s="958"/>
      <c r="G46" s="960"/>
    </row>
    <row r="47" spans="1:7" ht="14.25">
      <c r="A47" s="957"/>
      <c r="B47" s="1038"/>
      <c r="C47" s="1035"/>
      <c r="D47" s="1038" t="s">
        <v>169</v>
      </c>
      <c r="E47" s="958" t="s">
        <v>152</v>
      </c>
      <c r="F47" s="958"/>
      <c r="G47" s="960"/>
    </row>
    <row r="48" spans="1:7" ht="14.25">
      <c r="A48" s="957"/>
      <c r="B48" s="1038"/>
      <c r="C48" s="1035"/>
      <c r="D48" s="1038"/>
      <c r="E48" s="958" t="s">
        <v>153</v>
      </c>
      <c r="F48" s="958"/>
      <c r="G48" s="960"/>
    </row>
    <row r="49" spans="1:7" ht="14.25">
      <c r="A49" s="957"/>
      <c r="B49" s="1038"/>
      <c r="C49" s="1035"/>
      <c r="D49" s="1038"/>
      <c r="E49" s="958" t="s">
        <v>163</v>
      </c>
      <c r="F49" s="958"/>
      <c r="G49" s="960"/>
    </row>
    <row r="50" spans="1:7" ht="14.25">
      <c r="A50" s="957"/>
      <c r="B50" s="1038"/>
      <c r="C50" s="1035"/>
      <c r="D50" s="1038" t="s">
        <v>162</v>
      </c>
      <c r="E50" s="958" t="s">
        <v>152</v>
      </c>
      <c r="F50" s="958"/>
      <c r="G50" s="960"/>
    </row>
    <row r="51" spans="1:7" ht="14.25">
      <c r="A51" s="957"/>
      <c r="B51" s="1038"/>
      <c r="C51" s="1035"/>
      <c r="D51" s="1038"/>
      <c r="E51" s="958" t="s">
        <v>153</v>
      </c>
      <c r="F51" s="958"/>
      <c r="G51" s="960"/>
    </row>
    <row r="52" spans="1:7" ht="14.25">
      <c r="A52" s="957"/>
      <c r="B52" s="1038"/>
      <c r="C52" s="1035"/>
      <c r="D52" s="1038"/>
      <c r="E52" s="958" t="s">
        <v>163</v>
      </c>
      <c r="F52" s="958"/>
      <c r="G52" s="960"/>
    </row>
    <row r="53" spans="1:7" ht="14.25">
      <c r="A53" s="957"/>
      <c r="B53" s="1045" t="s">
        <v>170</v>
      </c>
      <c r="C53" s="960"/>
      <c r="D53" s="960"/>
      <c r="E53" s="960" t="s">
        <v>171</v>
      </c>
      <c r="F53" s="960"/>
      <c r="G53" s="960"/>
    </row>
    <row r="54" spans="1:7" ht="14.25">
      <c r="A54" s="957"/>
      <c r="B54" s="1045"/>
      <c r="C54" s="960"/>
      <c r="D54" s="960"/>
      <c r="E54" s="960" t="s">
        <v>172</v>
      </c>
      <c r="F54" s="960"/>
      <c r="G54" s="960"/>
    </row>
    <row r="55" spans="1:7" ht="14.25">
      <c r="A55" s="957"/>
      <c r="B55" s="1045"/>
      <c r="C55" s="960"/>
      <c r="D55" s="960"/>
      <c r="E55" s="960" t="s">
        <v>173</v>
      </c>
      <c r="F55" s="960"/>
      <c r="G55" s="960"/>
    </row>
    <row r="56" spans="1:7" ht="14.25">
      <c r="A56" s="957"/>
      <c r="B56" s="1045"/>
      <c r="C56" s="960"/>
      <c r="D56" s="960"/>
      <c r="E56" s="960" t="s">
        <v>174</v>
      </c>
      <c r="F56" s="960"/>
      <c r="G56" s="960"/>
    </row>
    <row r="57" spans="1:7" ht="14.25">
      <c r="A57" s="957"/>
      <c r="B57" s="1042" t="s">
        <v>132</v>
      </c>
      <c r="C57" s="1043"/>
      <c r="D57" s="1043"/>
      <c r="E57" s="1043"/>
      <c r="F57" s="1043"/>
      <c r="G57" s="1044"/>
    </row>
    <row r="58" spans="1:7" ht="14.25">
      <c r="A58" s="957"/>
      <c r="B58" s="1035" t="s">
        <v>140</v>
      </c>
      <c r="C58" s="959" t="s">
        <v>141</v>
      </c>
      <c r="D58" s="959"/>
      <c r="E58" s="1035" t="s">
        <v>142</v>
      </c>
      <c r="F58" s="958" t="s">
        <v>143</v>
      </c>
      <c r="G58" s="960"/>
    </row>
    <row r="59" spans="1:7" ht="14.25">
      <c r="A59" s="957"/>
      <c r="B59" s="1035"/>
      <c r="C59" s="959" t="s">
        <v>144</v>
      </c>
      <c r="D59" s="959"/>
      <c r="E59" s="1035"/>
      <c r="F59" s="958" t="s">
        <v>145</v>
      </c>
      <c r="G59" s="960"/>
    </row>
    <row r="60" spans="1:7" ht="28.5">
      <c r="A60" s="957"/>
      <c r="B60" s="1035"/>
      <c r="C60" s="959"/>
      <c r="D60" s="959"/>
      <c r="E60" s="1035"/>
      <c r="F60" s="958" t="s">
        <v>146</v>
      </c>
      <c r="G60" s="960"/>
    </row>
    <row r="61" spans="1:7" ht="42.75">
      <c r="A61" s="957"/>
      <c r="B61" s="1035"/>
      <c r="C61" s="959"/>
      <c r="D61" s="959"/>
      <c r="E61" s="958" t="s">
        <v>147</v>
      </c>
      <c r="F61" s="958" t="s">
        <v>148</v>
      </c>
      <c r="G61" s="960"/>
    </row>
    <row r="62" spans="1:7" ht="14.25">
      <c r="A62" s="957"/>
      <c r="B62" s="1035" t="s">
        <v>149</v>
      </c>
      <c r="C62" s="1035" t="s">
        <v>150</v>
      </c>
      <c r="D62" s="1038"/>
      <c r="E62" s="958" t="s">
        <v>152</v>
      </c>
      <c r="F62" s="958"/>
      <c r="G62" s="960"/>
    </row>
    <row r="63" spans="1:7" ht="14.25">
      <c r="A63" s="957"/>
      <c r="B63" s="1035"/>
      <c r="C63" s="1035"/>
      <c r="D63" s="1038"/>
      <c r="E63" s="958" t="s">
        <v>153</v>
      </c>
      <c r="F63" s="958"/>
      <c r="G63" s="960"/>
    </row>
    <row r="64" spans="1:7" ht="14.25">
      <c r="A64" s="957"/>
      <c r="B64" s="1035"/>
      <c r="C64" s="1035"/>
      <c r="D64" s="1038"/>
      <c r="E64" s="958" t="s">
        <v>154</v>
      </c>
      <c r="F64" s="958"/>
      <c r="G64" s="960"/>
    </row>
    <row r="65" spans="1:7" ht="14.25">
      <c r="A65" s="957"/>
      <c r="B65" s="1035"/>
      <c r="C65" s="1035"/>
      <c r="D65" s="1038"/>
      <c r="E65" s="958" t="s">
        <v>157</v>
      </c>
      <c r="F65" s="958"/>
      <c r="G65" s="960"/>
    </row>
    <row r="66" spans="1:7" ht="14.25">
      <c r="A66" s="957"/>
      <c r="B66" s="1035"/>
      <c r="C66" s="1035"/>
      <c r="D66" s="1038"/>
      <c r="E66" s="958" t="s">
        <v>159</v>
      </c>
      <c r="F66" s="958"/>
      <c r="G66" s="960"/>
    </row>
    <row r="67" spans="1:7" ht="14.25">
      <c r="A67" s="957"/>
      <c r="B67" s="1035"/>
      <c r="C67" s="1035"/>
      <c r="D67" s="1038"/>
      <c r="E67" s="958" t="s">
        <v>163</v>
      </c>
      <c r="F67" s="958"/>
      <c r="G67" s="960"/>
    </row>
    <row r="68" spans="1:7" ht="14.25">
      <c r="A68" s="957"/>
      <c r="B68" s="1035"/>
      <c r="C68" s="1035" t="s">
        <v>161</v>
      </c>
      <c r="D68" s="1038" t="s">
        <v>162</v>
      </c>
      <c r="E68" s="958" t="s">
        <v>152</v>
      </c>
      <c r="F68" s="958"/>
      <c r="G68" s="960"/>
    </row>
    <row r="69" spans="1:7" ht="14.25">
      <c r="A69" s="957"/>
      <c r="B69" s="1035"/>
      <c r="C69" s="1035"/>
      <c r="D69" s="1038"/>
      <c r="E69" s="958" t="s">
        <v>153</v>
      </c>
      <c r="F69" s="958"/>
      <c r="G69" s="960"/>
    </row>
    <row r="70" spans="1:7" ht="14.25">
      <c r="A70" s="957"/>
      <c r="B70" s="1035"/>
      <c r="C70" s="1035"/>
      <c r="D70" s="1038"/>
      <c r="E70" s="958" t="s">
        <v>163</v>
      </c>
      <c r="F70" s="958"/>
      <c r="G70" s="960"/>
    </row>
    <row r="71" spans="1:7" ht="14.25">
      <c r="A71" s="957"/>
      <c r="B71" s="1035"/>
      <c r="C71" s="1035"/>
      <c r="D71" s="1038"/>
      <c r="E71" s="958" t="s">
        <v>164</v>
      </c>
      <c r="F71" s="958"/>
      <c r="G71" s="960"/>
    </row>
    <row r="72" spans="1:7" ht="14.25">
      <c r="A72" s="957"/>
      <c r="B72" s="1035"/>
      <c r="C72" s="1035"/>
      <c r="D72" s="1038" t="s">
        <v>165</v>
      </c>
      <c r="E72" s="958" t="s">
        <v>152</v>
      </c>
      <c r="F72" s="958"/>
      <c r="G72" s="960"/>
    </row>
    <row r="73" spans="1:7" ht="14.25">
      <c r="A73" s="957"/>
      <c r="B73" s="1035"/>
      <c r="C73" s="1035"/>
      <c r="D73" s="1038"/>
      <c r="E73" s="958" t="s">
        <v>153</v>
      </c>
      <c r="F73" s="958"/>
      <c r="G73" s="960"/>
    </row>
    <row r="74" spans="1:7" ht="14.25">
      <c r="A74" s="957"/>
      <c r="B74" s="1035"/>
      <c r="C74" s="1035"/>
      <c r="D74" s="1038"/>
      <c r="E74" s="958" t="s">
        <v>163</v>
      </c>
      <c r="F74" s="958"/>
      <c r="G74" s="960"/>
    </row>
    <row r="75" spans="1:7" ht="14.25">
      <c r="A75" s="957"/>
      <c r="B75" s="1035"/>
      <c r="C75" s="1035"/>
      <c r="D75" s="1038"/>
      <c r="E75" s="958" t="s">
        <v>154</v>
      </c>
      <c r="F75" s="958"/>
      <c r="G75" s="960"/>
    </row>
    <row r="76" spans="1:7" ht="14.25">
      <c r="A76" s="957"/>
      <c r="B76" s="1035"/>
      <c r="C76" s="1035"/>
      <c r="D76" s="1038" t="s">
        <v>166</v>
      </c>
      <c r="E76" s="958" t="s">
        <v>152</v>
      </c>
      <c r="F76" s="958"/>
      <c r="G76" s="960"/>
    </row>
    <row r="77" spans="1:7" ht="14.25">
      <c r="A77" s="957"/>
      <c r="B77" s="1035"/>
      <c r="C77" s="1035"/>
      <c r="D77" s="1038"/>
      <c r="E77" s="958" t="s">
        <v>153</v>
      </c>
      <c r="F77" s="958"/>
      <c r="G77" s="960"/>
    </row>
    <row r="78" spans="1:7" ht="14.25">
      <c r="A78" s="957"/>
      <c r="B78" s="1035"/>
      <c r="C78" s="1035"/>
      <c r="D78" s="1038"/>
      <c r="E78" s="958" t="s">
        <v>163</v>
      </c>
      <c r="F78" s="958"/>
      <c r="G78" s="960"/>
    </row>
    <row r="79" spans="1:7" ht="14.25">
      <c r="A79" s="957"/>
      <c r="B79" s="1035"/>
      <c r="C79" s="1035"/>
      <c r="D79" s="1038"/>
      <c r="E79" s="958" t="s">
        <v>154</v>
      </c>
      <c r="F79" s="958"/>
      <c r="G79" s="960"/>
    </row>
    <row r="80" spans="1:7" ht="14.25">
      <c r="A80" s="957"/>
      <c r="B80" s="1038" t="s">
        <v>167</v>
      </c>
      <c r="C80" s="1035" t="s">
        <v>161</v>
      </c>
      <c r="D80" s="1038" t="s">
        <v>168</v>
      </c>
      <c r="E80" s="958" t="s">
        <v>152</v>
      </c>
      <c r="F80" s="958"/>
      <c r="G80" s="960"/>
    </row>
    <row r="81" spans="1:7" ht="14.25">
      <c r="A81" s="957"/>
      <c r="B81" s="1038"/>
      <c r="C81" s="1035"/>
      <c r="D81" s="1038"/>
      <c r="E81" s="958" t="s">
        <v>153</v>
      </c>
      <c r="F81" s="958"/>
      <c r="G81" s="960"/>
    </row>
    <row r="82" spans="1:7" ht="14.25">
      <c r="A82" s="957"/>
      <c r="B82" s="1038"/>
      <c r="C82" s="1035"/>
      <c r="D82" s="1038"/>
      <c r="E82" s="958" t="s">
        <v>163</v>
      </c>
      <c r="F82" s="958"/>
      <c r="G82" s="960"/>
    </row>
    <row r="83" spans="1:7" ht="14.25">
      <c r="A83" s="957"/>
      <c r="B83" s="1038"/>
      <c r="C83" s="1035"/>
      <c r="D83" s="1038" t="s">
        <v>169</v>
      </c>
      <c r="E83" s="958" t="s">
        <v>152</v>
      </c>
      <c r="F83" s="958"/>
      <c r="G83" s="960"/>
    </row>
    <row r="84" spans="1:7" ht="14.25">
      <c r="A84" s="957"/>
      <c r="B84" s="1038"/>
      <c r="C84" s="1035"/>
      <c r="D84" s="1038"/>
      <c r="E84" s="958" t="s">
        <v>153</v>
      </c>
      <c r="F84" s="958"/>
      <c r="G84" s="960"/>
    </row>
    <row r="85" spans="1:7" ht="14.25">
      <c r="A85" s="957"/>
      <c r="B85" s="1038"/>
      <c r="C85" s="1035"/>
      <c r="D85" s="1038"/>
      <c r="E85" s="958" t="s">
        <v>163</v>
      </c>
      <c r="F85" s="958"/>
      <c r="G85" s="960"/>
    </row>
    <row r="86" spans="1:7" ht="14.25">
      <c r="A86" s="957"/>
      <c r="B86" s="1038"/>
      <c r="C86" s="1035"/>
      <c r="D86" s="1038" t="s">
        <v>162</v>
      </c>
      <c r="E86" s="958" t="s">
        <v>152</v>
      </c>
      <c r="F86" s="958"/>
      <c r="G86" s="960"/>
    </row>
    <row r="87" spans="1:7" ht="14.25">
      <c r="A87" s="957"/>
      <c r="B87" s="1038"/>
      <c r="C87" s="1035"/>
      <c r="D87" s="1038"/>
      <c r="E87" s="958" t="s">
        <v>153</v>
      </c>
      <c r="F87" s="958"/>
      <c r="G87" s="960"/>
    </row>
    <row r="88" spans="1:7" ht="14.25">
      <c r="A88" s="957"/>
      <c r="B88" s="1038"/>
      <c r="C88" s="1035"/>
      <c r="D88" s="1038"/>
      <c r="E88" s="958" t="s">
        <v>163</v>
      </c>
      <c r="F88" s="958"/>
      <c r="G88" s="960"/>
    </row>
    <row r="89" spans="1:7" ht="14.25">
      <c r="A89" s="957"/>
      <c r="B89" s="1045" t="s">
        <v>170</v>
      </c>
      <c r="C89" s="960"/>
      <c r="D89" s="960"/>
      <c r="E89" s="960" t="s">
        <v>171</v>
      </c>
      <c r="F89" s="960"/>
      <c r="G89" s="960"/>
    </row>
    <row r="90" spans="1:7" ht="14.25">
      <c r="A90" s="957"/>
      <c r="B90" s="1045"/>
      <c r="C90" s="960"/>
      <c r="D90" s="960"/>
      <c r="E90" s="960" t="s">
        <v>172</v>
      </c>
      <c r="F90" s="960"/>
      <c r="G90" s="960"/>
    </row>
    <row r="91" spans="1:7" ht="14.25">
      <c r="A91" s="957"/>
      <c r="B91" s="1045"/>
      <c r="C91" s="960"/>
      <c r="D91" s="960"/>
      <c r="E91" s="960" t="s">
        <v>173</v>
      </c>
      <c r="F91" s="960"/>
      <c r="G91" s="960"/>
    </row>
    <row r="92" spans="1:7" ht="14.25">
      <c r="A92" s="957"/>
      <c r="B92" s="1045"/>
      <c r="C92" s="960"/>
      <c r="D92" s="960"/>
      <c r="E92" s="960" t="s">
        <v>174</v>
      </c>
      <c r="F92" s="960"/>
      <c r="G92" s="960"/>
    </row>
    <row r="93" spans="1:7" ht="14.25">
      <c r="A93" s="957"/>
      <c r="B93" s="1049" t="s">
        <v>175</v>
      </c>
      <c r="C93" s="1050"/>
      <c r="D93" s="1050"/>
      <c r="E93" s="1050"/>
      <c r="F93" s="1050"/>
      <c r="G93" s="1051"/>
    </row>
    <row r="94" spans="1:7" ht="14.25">
      <c r="A94" s="957"/>
      <c r="B94" s="1046" t="s">
        <v>175</v>
      </c>
      <c r="C94" s="960"/>
      <c r="D94" s="960"/>
      <c r="E94" s="960" t="s">
        <v>176</v>
      </c>
      <c r="F94" s="960"/>
      <c r="G94" s="960"/>
    </row>
    <row r="95" spans="1:7" ht="14.25">
      <c r="A95" s="957"/>
      <c r="B95" s="1047"/>
      <c r="C95" s="960"/>
      <c r="D95" s="960"/>
      <c r="E95" s="960" t="s">
        <v>177</v>
      </c>
      <c r="F95" s="960"/>
      <c r="G95" s="960"/>
    </row>
    <row r="96" spans="1:7" ht="14.25">
      <c r="A96" s="957"/>
      <c r="B96" s="1048"/>
      <c r="C96" s="960"/>
      <c r="D96" s="960"/>
      <c r="E96" s="960" t="s">
        <v>178</v>
      </c>
      <c r="F96" s="960"/>
      <c r="G96" s="960"/>
    </row>
  </sheetData>
  <mergeCells count="41">
    <mergeCell ref="B94:B96"/>
    <mergeCell ref="C15:C31"/>
    <mergeCell ref="C32:C43"/>
    <mergeCell ref="C44:C52"/>
    <mergeCell ref="C62:C67"/>
    <mergeCell ref="C68:C79"/>
    <mergeCell ref="C80:C88"/>
    <mergeCell ref="B93:G93"/>
    <mergeCell ref="B15:B43"/>
    <mergeCell ref="B44:B52"/>
    <mergeCell ref="B53:B56"/>
    <mergeCell ref="B58:B61"/>
    <mergeCell ref="B57:G57"/>
    <mergeCell ref="D44:D46"/>
    <mergeCell ref="D47:D49"/>
    <mergeCell ref="D50:D52"/>
    <mergeCell ref="B80:B88"/>
    <mergeCell ref="B89:B92"/>
    <mergeCell ref="D15:D17"/>
    <mergeCell ref="D83:D85"/>
    <mergeCell ref="D86:D88"/>
    <mergeCell ref="D72:D75"/>
    <mergeCell ref="D76:D79"/>
    <mergeCell ref="D80:D82"/>
    <mergeCell ref="D40:D43"/>
    <mergeCell ref="E11:E13"/>
    <mergeCell ref="E58:E60"/>
    <mergeCell ref="B1:G2"/>
    <mergeCell ref="D62:D67"/>
    <mergeCell ref="D68:D71"/>
    <mergeCell ref="B11:B14"/>
    <mergeCell ref="D18:D21"/>
    <mergeCell ref="D22:D26"/>
    <mergeCell ref="D27:D31"/>
    <mergeCell ref="D32:D35"/>
    <mergeCell ref="D36:D39"/>
    <mergeCell ref="B62:B79"/>
    <mergeCell ref="B3:G3"/>
    <mergeCell ref="B8:G8"/>
    <mergeCell ref="C9:D9"/>
    <mergeCell ref="B10:G10"/>
  </mergeCells>
  <phoneticPr fontId="43" type="noConversion"/>
  <pageMargins left="0.7" right="0.7" top="0.75" bottom="0.75" header="0.3" footer="0.3"/>
  <pageSetup paperSize="9" orientation="portrait" horizontalDpi="1200" verticalDpi="12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3"/>
  <sheetViews>
    <sheetView showGridLines="0" workbookViewId="0">
      <selection sqref="A1:F2"/>
    </sheetView>
  </sheetViews>
  <sheetFormatPr defaultColWidth="9" defaultRowHeight="13.5"/>
  <cols>
    <col min="1" max="1" width="13.75" customWidth="1"/>
    <col min="2" max="2" width="11.25" customWidth="1"/>
    <col min="3" max="3" width="11.5" customWidth="1"/>
    <col min="4" max="4" width="11.625" customWidth="1"/>
    <col min="5" max="5" width="20.125" customWidth="1"/>
    <col min="6" max="6" width="20.75" customWidth="1"/>
  </cols>
  <sheetData>
    <row r="1" spans="1:16" ht="28.15" customHeight="1">
      <c r="A1" s="1298" t="s">
        <v>1154</v>
      </c>
      <c r="B1" s="1095"/>
      <c r="C1" s="1095"/>
      <c r="D1" s="1095"/>
      <c r="E1" s="1095"/>
      <c r="F1" s="1095"/>
    </row>
    <row r="2" spans="1:16" ht="28.15" customHeight="1">
      <c r="A2" s="1299"/>
      <c r="B2" s="1299"/>
      <c r="C2" s="1299"/>
      <c r="D2" s="1299"/>
      <c r="E2" s="1299"/>
      <c r="F2" s="1299"/>
      <c r="G2" s="2"/>
      <c r="H2" s="2"/>
      <c r="I2" s="2"/>
      <c r="J2" s="2"/>
      <c r="K2" s="2"/>
      <c r="L2" s="2"/>
      <c r="M2" s="2"/>
      <c r="N2" s="2"/>
      <c r="O2" s="2"/>
      <c r="P2" s="2"/>
    </row>
    <row r="3" spans="1:16" ht="23.25" customHeight="1">
      <c r="A3" s="1300" t="s">
        <v>1155</v>
      </c>
      <c r="B3" s="1300"/>
      <c r="C3" s="1300"/>
      <c r="D3" s="1300"/>
      <c r="E3" s="1300"/>
      <c r="F3" s="1300"/>
      <c r="G3" s="2"/>
      <c r="H3" s="2"/>
      <c r="I3" s="2"/>
      <c r="J3" s="2"/>
      <c r="K3" s="2"/>
      <c r="L3" s="2"/>
      <c r="M3" s="2"/>
      <c r="N3" s="2"/>
      <c r="O3" s="2"/>
      <c r="P3" s="2"/>
    </row>
    <row r="4" spans="1:16" ht="23.25" customHeight="1">
      <c r="A4" s="3" t="s">
        <v>135</v>
      </c>
      <c r="B4" s="1304"/>
      <c r="C4" s="1305"/>
      <c r="D4" s="3" t="s">
        <v>1156</v>
      </c>
      <c r="E4" s="1304"/>
      <c r="F4" s="1305"/>
      <c r="G4" s="2"/>
      <c r="H4" s="2"/>
      <c r="I4" s="2"/>
      <c r="J4" s="2"/>
      <c r="K4" s="2"/>
      <c r="L4" s="2"/>
      <c r="M4" s="2"/>
      <c r="N4" s="2"/>
      <c r="O4" s="2"/>
      <c r="P4" s="2"/>
    </row>
    <row r="5" spans="1:16" ht="23.25" customHeight="1">
      <c r="A5" s="4" t="s">
        <v>1157</v>
      </c>
      <c r="B5" s="1304"/>
      <c r="C5" s="1306"/>
      <c r="D5" s="1305"/>
      <c r="E5" s="4" t="s">
        <v>124</v>
      </c>
      <c r="F5" s="5"/>
      <c r="G5" s="2"/>
      <c r="H5" s="2"/>
      <c r="I5" s="2"/>
      <c r="J5" s="2"/>
      <c r="K5" s="2"/>
      <c r="L5" s="2"/>
      <c r="M5" s="2"/>
      <c r="N5" s="2"/>
      <c r="O5" s="2"/>
      <c r="P5" s="2"/>
    </row>
    <row r="6" spans="1:16" ht="23.25" customHeight="1">
      <c r="A6" s="4" t="s">
        <v>127</v>
      </c>
      <c r="B6" s="4"/>
      <c r="C6" s="4" t="s">
        <v>126</v>
      </c>
      <c r="D6" s="4"/>
      <c r="E6" s="4" t="s">
        <v>1158</v>
      </c>
      <c r="F6" s="5"/>
      <c r="G6" s="2"/>
      <c r="H6" s="2"/>
      <c r="I6" s="2"/>
      <c r="J6" s="2"/>
      <c r="K6" s="2"/>
      <c r="L6" s="2"/>
      <c r="M6" s="2"/>
      <c r="N6" s="2"/>
      <c r="O6" s="2"/>
      <c r="P6" s="2"/>
    </row>
    <row r="7" spans="1:16" ht="23.25" customHeight="1">
      <c r="A7" s="4" t="s">
        <v>1159</v>
      </c>
      <c r="B7" s="4"/>
      <c r="C7" s="4" t="s">
        <v>128</v>
      </c>
      <c r="D7" s="4" t="s">
        <v>131</v>
      </c>
      <c r="E7" s="4" t="s">
        <v>133</v>
      </c>
      <c r="F7" s="5"/>
      <c r="G7" s="2"/>
      <c r="H7" s="2"/>
      <c r="I7" s="2"/>
      <c r="J7" s="2"/>
      <c r="K7" s="2"/>
      <c r="L7" s="2"/>
      <c r="M7" s="2"/>
      <c r="N7" s="2"/>
      <c r="O7" s="2"/>
      <c r="P7" s="2"/>
    </row>
    <row r="8" spans="1:16" ht="23.25" customHeight="1">
      <c r="A8" s="1300" t="s">
        <v>134</v>
      </c>
      <c r="B8" s="1300"/>
      <c r="C8" s="1300"/>
      <c r="D8" s="1300"/>
      <c r="E8" s="1300"/>
      <c r="F8" s="1300"/>
      <c r="G8" s="2"/>
      <c r="H8" s="2"/>
      <c r="I8" s="2"/>
      <c r="J8" s="2"/>
      <c r="K8" s="2"/>
      <c r="L8" s="2"/>
      <c r="M8" s="2"/>
      <c r="N8" s="2"/>
      <c r="O8" s="2"/>
      <c r="P8" s="2"/>
    </row>
    <row r="9" spans="1:16" ht="23.25" customHeight="1">
      <c r="A9" s="4" t="s">
        <v>135</v>
      </c>
      <c r="B9" s="1297" t="s">
        <v>136</v>
      </c>
      <c r="C9" s="1297"/>
      <c r="D9" s="4" t="s">
        <v>137</v>
      </c>
      <c r="E9" s="4" t="s">
        <v>138</v>
      </c>
      <c r="F9" s="4" t="s">
        <v>139</v>
      </c>
      <c r="G9" s="2"/>
      <c r="H9" s="2"/>
      <c r="I9" s="2"/>
      <c r="J9" s="2"/>
      <c r="K9" s="2"/>
      <c r="L9" s="2"/>
      <c r="M9" s="2"/>
      <c r="N9" s="2"/>
      <c r="O9" s="2"/>
      <c r="P9" s="2"/>
    </row>
    <row r="10" spans="1:16" ht="18" customHeight="1">
      <c r="A10" s="1297" t="s">
        <v>140</v>
      </c>
      <c r="B10" s="4" t="s">
        <v>141</v>
      </c>
      <c r="C10" s="4"/>
      <c r="D10" s="1297" t="s">
        <v>142</v>
      </c>
      <c r="E10" s="3" t="s">
        <v>143</v>
      </c>
      <c r="F10" s="5"/>
      <c r="G10" s="2"/>
      <c r="H10" s="2"/>
      <c r="I10" s="2"/>
      <c r="J10" s="2"/>
      <c r="K10" s="2"/>
      <c r="L10" s="2"/>
      <c r="M10" s="2"/>
      <c r="N10" s="2"/>
      <c r="O10" s="2"/>
      <c r="P10" s="2"/>
    </row>
    <row r="11" spans="1:16" ht="18" customHeight="1">
      <c r="A11" s="1297"/>
      <c r="B11" s="4" t="s">
        <v>144</v>
      </c>
      <c r="C11" s="4"/>
      <c r="D11" s="1297"/>
      <c r="E11" s="3" t="s">
        <v>145</v>
      </c>
      <c r="F11" s="5"/>
      <c r="G11" s="2"/>
      <c r="H11" s="2"/>
      <c r="I11" s="2"/>
      <c r="J11" s="2"/>
      <c r="K11" s="2"/>
      <c r="L11" s="2"/>
      <c r="M11" s="2"/>
      <c r="N11" s="2"/>
      <c r="O11" s="2"/>
      <c r="P11" s="2"/>
    </row>
    <row r="12" spans="1:16" ht="18" customHeight="1">
      <c r="A12" s="1297"/>
      <c r="B12" s="4"/>
      <c r="C12" s="4"/>
      <c r="D12" s="1297"/>
      <c r="E12" s="3" t="s">
        <v>146</v>
      </c>
      <c r="F12" s="5"/>
      <c r="G12" s="2"/>
      <c r="H12" s="2"/>
      <c r="I12" s="2"/>
      <c r="J12" s="2"/>
      <c r="K12" s="2"/>
      <c r="L12" s="2"/>
      <c r="M12" s="2"/>
      <c r="N12" s="2"/>
      <c r="O12" s="2"/>
      <c r="P12" s="2"/>
    </row>
    <row r="13" spans="1:16" ht="18" customHeight="1">
      <c r="A13" s="1297"/>
      <c r="B13" s="4"/>
      <c r="C13" s="4"/>
      <c r="D13" s="3" t="s">
        <v>147</v>
      </c>
      <c r="E13" s="3" t="s">
        <v>148</v>
      </c>
      <c r="F13" s="5"/>
      <c r="G13" s="2"/>
      <c r="H13" s="2"/>
      <c r="I13" s="2"/>
      <c r="J13" s="2"/>
      <c r="K13" s="2"/>
      <c r="L13" s="2"/>
      <c r="M13" s="2"/>
      <c r="N13" s="2"/>
      <c r="O13" s="2"/>
      <c r="P13" s="2"/>
    </row>
    <row r="14" spans="1:16" ht="18" customHeight="1">
      <c r="A14" s="1301" t="s">
        <v>149</v>
      </c>
      <c r="B14" s="1301" t="s">
        <v>150</v>
      </c>
      <c r="C14" s="1301" t="s">
        <v>151</v>
      </c>
      <c r="D14" s="3" t="s">
        <v>152</v>
      </c>
      <c r="E14" s="3"/>
      <c r="F14" s="5"/>
      <c r="G14" s="2"/>
      <c r="H14" s="2"/>
      <c r="I14" s="2"/>
      <c r="J14" s="2"/>
      <c r="K14" s="2"/>
      <c r="L14" s="2"/>
      <c r="M14" s="2"/>
      <c r="N14" s="2"/>
      <c r="O14" s="2"/>
      <c r="P14" s="2"/>
    </row>
    <row r="15" spans="1:16" ht="18" customHeight="1">
      <c r="A15" s="1302"/>
      <c r="B15" s="1302"/>
      <c r="C15" s="1302"/>
      <c r="D15" s="3" t="s">
        <v>153</v>
      </c>
      <c r="E15" s="3"/>
      <c r="F15" s="5"/>
      <c r="G15" s="2"/>
      <c r="H15" s="2"/>
      <c r="I15" s="2"/>
      <c r="J15" s="2"/>
      <c r="K15" s="2"/>
      <c r="L15" s="2"/>
      <c r="M15" s="2"/>
      <c r="N15" s="2"/>
      <c r="O15" s="2"/>
      <c r="P15" s="2"/>
    </row>
    <row r="16" spans="1:16" ht="18" customHeight="1">
      <c r="A16" s="1302"/>
      <c r="B16" s="1302"/>
      <c r="C16" s="1303"/>
      <c r="D16" s="3" t="s">
        <v>154</v>
      </c>
      <c r="E16" s="3"/>
      <c r="F16" s="5"/>
      <c r="G16" s="2"/>
      <c r="H16" s="2"/>
      <c r="I16" s="2"/>
      <c r="J16" s="2"/>
      <c r="K16" s="2"/>
      <c r="L16" s="2"/>
      <c r="M16" s="2"/>
      <c r="N16" s="2"/>
      <c r="O16" s="2"/>
      <c r="P16" s="2"/>
    </row>
    <row r="17" spans="1:16" ht="18" customHeight="1">
      <c r="A17" s="1302"/>
      <c r="B17" s="1302"/>
      <c r="C17" s="1301" t="s">
        <v>155</v>
      </c>
      <c r="D17" s="3" t="s">
        <v>156</v>
      </c>
      <c r="E17" s="3"/>
      <c r="F17" s="5"/>
      <c r="G17" s="2"/>
      <c r="H17" s="2"/>
      <c r="I17" s="2"/>
      <c r="J17" s="2"/>
      <c r="K17" s="2"/>
      <c r="L17" s="2"/>
      <c r="M17" s="2"/>
      <c r="N17" s="2"/>
      <c r="O17" s="2"/>
      <c r="P17" s="2"/>
    </row>
    <row r="18" spans="1:16" ht="18" customHeight="1">
      <c r="A18" s="1302"/>
      <c r="B18" s="1302"/>
      <c r="C18" s="1302"/>
      <c r="D18" s="3" t="s">
        <v>152</v>
      </c>
      <c r="E18" s="3"/>
      <c r="F18" s="5"/>
      <c r="G18" s="2"/>
      <c r="H18" s="2"/>
      <c r="I18" s="2"/>
      <c r="J18" s="2"/>
      <c r="K18" s="2"/>
      <c r="L18" s="2"/>
      <c r="M18" s="2"/>
      <c r="N18" s="2"/>
      <c r="O18" s="2"/>
      <c r="P18" s="2"/>
    </row>
    <row r="19" spans="1:16" ht="18" customHeight="1">
      <c r="A19" s="1302"/>
      <c r="B19" s="1302"/>
      <c r="C19" s="1302"/>
      <c r="D19" s="3" t="s">
        <v>153</v>
      </c>
      <c r="E19" s="3"/>
      <c r="F19" s="5"/>
      <c r="G19" s="2"/>
      <c r="H19" s="2"/>
      <c r="I19" s="2"/>
      <c r="J19" s="2"/>
      <c r="K19" s="2"/>
      <c r="L19" s="2"/>
      <c r="M19" s="2"/>
      <c r="N19" s="2"/>
      <c r="O19" s="2"/>
      <c r="P19" s="2"/>
    </row>
    <row r="20" spans="1:16" ht="18" customHeight="1">
      <c r="A20" s="1302"/>
      <c r="B20" s="1302"/>
      <c r="C20" s="1303"/>
      <c r="D20" s="3" t="s">
        <v>154</v>
      </c>
      <c r="E20" s="3"/>
      <c r="F20" s="5"/>
      <c r="G20" s="2"/>
      <c r="H20" s="2"/>
      <c r="I20" s="2"/>
      <c r="J20" s="2"/>
      <c r="K20" s="2"/>
      <c r="L20" s="2"/>
      <c r="M20" s="2"/>
      <c r="N20" s="2"/>
      <c r="O20" s="2"/>
      <c r="P20" s="2"/>
    </row>
    <row r="21" spans="1:16" ht="18" customHeight="1">
      <c r="A21" s="1302"/>
      <c r="B21" s="1302"/>
      <c r="C21" s="1301" t="s">
        <v>157</v>
      </c>
      <c r="D21" s="3" t="s">
        <v>156</v>
      </c>
      <c r="E21" s="3"/>
      <c r="F21" s="5"/>
      <c r="G21" s="2"/>
      <c r="H21" s="2"/>
      <c r="I21" s="2"/>
      <c r="J21" s="2"/>
      <c r="K21" s="2"/>
      <c r="L21" s="2"/>
      <c r="M21" s="2"/>
      <c r="N21" s="2"/>
      <c r="O21" s="2"/>
      <c r="P21" s="2"/>
    </row>
    <row r="22" spans="1:16" ht="18" customHeight="1">
      <c r="A22" s="1302"/>
      <c r="B22" s="1302"/>
      <c r="C22" s="1302"/>
      <c r="D22" s="3" t="s">
        <v>152</v>
      </c>
      <c r="E22" s="3"/>
      <c r="F22" s="5"/>
      <c r="G22" s="2"/>
      <c r="H22" s="2"/>
      <c r="I22" s="2"/>
      <c r="J22" s="2"/>
      <c r="K22" s="2"/>
      <c r="L22" s="2"/>
      <c r="M22" s="2"/>
      <c r="N22" s="2"/>
      <c r="O22" s="2"/>
      <c r="P22" s="2"/>
    </row>
    <row r="23" spans="1:16" ht="18" customHeight="1">
      <c r="A23" s="1302"/>
      <c r="B23" s="1302"/>
      <c r="C23" s="1302"/>
      <c r="D23" s="3" t="s">
        <v>153</v>
      </c>
      <c r="E23" s="3"/>
      <c r="F23" s="5"/>
      <c r="G23" s="2"/>
      <c r="H23" s="2"/>
      <c r="I23" s="2"/>
      <c r="J23" s="2"/>
      <c r="K23" s="2"/>
      <c r="L23" s="2"/>
      <c r="M23" s="2"/>
      <c r="N23" s="2"/>
      <c r="O23" s="2"/>
      <c r="P23" s="2"/>
    </row>
    <row r="24" spans="1:16" ht="18" customHeight="1">
      <c r="A24" s="1302"/>
      <c r="B24" s="1302"/>
      <c r="C24" s="1302"/>
      <c r="D24" s="3" t="s">
        <v>154</v>
      </c>
      <c r="E24" s="3"/>
      <c r="F24" s="5"/>
      <c r="G24" s="2"/>
      <c r="H24" s="2"/>
      <c r="I24" s="2"/>
      <c r="J24" s="2"/>
      <c r="K24" s="2"/>
      <c r="L24" s="2"/>
      <c r="M24" s="2"/>
      <c r="N24" s="2"/>
      <c r="O24" s="2"/>
      <c r="P24" s="2"/>
    </row>
    <row r="25" spans="1:16" ht="18" customHeight="1">
      <c r="A25" s="1302"/>
      <c r="B25" s="1302"/>
      <c r="C25" s="1303"/>
      <c r="D25" s="3" t="s">
        <v>158</v>
      </c>
      <c r="E25" s="3"/>
      <c r="F25" s="5"/>
      <c r="G25" s="2"/>
      <c r="H25" s="2"/>
      <c r="I25" s="2"/>
      <c r="J25" s="2"/>
      <c r="K25" s="2"/>
      <c r="L25" s="2"/>
      <c r="M25" s="2"/>
      <c r="N25" s="2"/>
      <c r="O25" s="2"/>
      <c r="P25" s="2"/>
    </row>
    <row r="26" spans="1:16" ht="18" customHeight="1">
      <c r="A26" s="1302"/>
      <c r="B26" s="1302"/>
      <c r="C26" s="1301" t="s">
        <v>159</v>
      </c>
      <c r="D26" s="3" t="s">
        <v>156</v>
      </c>
      <c r="E26" s="3"/>
      <c r="F26" s="5"/>
      <c r="G26" s="2"/>
      <c r="H26" s="2"/>
      <c r="I26" s="2"/>
      <c r="J26" s="2"/>
      <c r="K26" s="2"/>
      <c r="L26" s="2"/>
      <c r="M26" s="2"/>
      <c r="N26" s="2"/>
      <c r="O26" s="2"/>
      <c r="P26" s="2"/>
    </row>
    <row r="27" spans="1:16" ht="18" customHeight="1">
      <c r="A27" s="1302"/>
      <c r="B27" s="1302"/>
      <c r="C27" s="1302"/>
      <c r="D27" s="3" t="s">
        <v>152</v>
      </c>
      <c r="E27" s="3"/>
      <c r="F27" s="5"/>
      <c r="G27" s="2"/>
      <c r="H27" s="2"/>
      <c r="I27" s="2"/>
      <c r="J27" s="2"/>
      <c r="K27" s="2"/>
      <c r="L27" s="2"/>
      <c r="M27" s="2"/>
      <c r="N27" s="2"/>
      <c r="O27" s="2"/>
      <c r="P27" s="2"/>
    </row>
    <row r="28" spans="1:16" ht="18" customHeight="1">
      <c r="A28" s="1302"/>
      <c r="B28" s="1302"/>
      <c r="C28" s="1302"/>
      <c r="D28" s="3" t="s">
        <v>153</v>
      </c>
      <c r="E28" s="3"/>
      <c r="F28" s="5"/>
      <c r="G28" s="2"/>
      <c r="H28" s="2"/>
      <c r="I28" s="2"/>
      <c r="J28" s="2"/>
      <c r="K28" s="2"/>
      <c r="L28" s="2"/>
      <c r="M28" s="2"/>
      <c r="N28" s="2"/>
      <c r="O28" s="2"/>
      <c r="P28" s="2"/>
    </row>
    <row r="29" spans="1:16" ht="18" customHeight="1">
      <c r="A29" s="1302"/>
      <c r="B29" s="1302"/>
      <c r="C29" s="1302"/>
      <c r="D29" s="3" t="s">
        <v>154</v>
      </c>
      <c r="E29" s="3"/>
      <c r="F29" s="5"/>
      <c r="G29" s="2"/>
      <c r="H29" s="2"/>
      <c r="I29" s="2"/>
      <c r="J29" s="2"/>
      <c r="K29" s="2"/>
      <c r="L29" s="2"/>
      <c r="M29" s="2"/>
      <c r="N29" s="2"/>
      <c r="O29" s="2"/>
      <c r="P29" s="2"/>
    </row>
    <row r="30" spans="1:16" ht="18" customHeight="1">
      <c r="A30" s="1302"/>
      <c r="B30" s="1303"/>
      <c r="C30" s="1303"/>
      <c r="D30" s="3" t="s">
        <v>160</v>
      </c>
      <c r="E30" s="3"/>
      <c r="F30" s="5"/>
      <c r="G30" s="2"/>
      <c r="H30" s="2"/>
      <c r="I30" s="2"/>
      <c r="J30" s="2"/>
      <c r="K30" s="2"/>
      <c r="L30" s="2"/>
      <c r="M30" s="2"/>
      <c r="N30" s="2"/>
      <c r="O30" s="2"/>
      <c r="P30" s="2"/>
    </row>
    <row r="31" spans="1:16" ht="18" customHeight="1">
      <c r="A31" s="1302"/>
      <c r="B31" s="1297" t="s">
        <v>161</v>
      </c>
      <c r="C31" s="1300" t="s">
        <v>162</v>
      </c>
      <c r="D31" s="3" t="s">
        <v>152</v>
      </c>
      <c r="E31" s="3"/>
      <c r="F31" s="5"/>
      <c r="G31" s="2"/>
      <c r="H31" s="2"/>
      <c r="I31" s="2"/>
      <c r="J31" s="2"/>
      <c r="K31" s="2"/>
      <c r="L31" s="2"/>
      <c r="M31" s="2"/>
      <c r="N31" s="2"/>
      <c r="O31" s="2"/>
      <c r="P31" s="2"/>
    </row>
    <row r="32" spans="1:16" ht="18" customHeight="1">
      <c r="A32" s="1302"/>
      <c r="B32" s="1297"/>
      <c r="C32" s="1300"/>
      <c r="D32" s="3" t="s">
        <v>153</v>
      </c>
      <c r="E32" s="3"/>
      <c r="F32" s="5"/>
      <c r="G32" s="2"/>
      <c r="H32" s="2"/>
      <c r="I32" s="2"/>
      <c r="J32" s="2"/>
      <c r="K32" s="2"/>
      <c r="L32" s="2"/>
      <c r="M32" s="2"/>
      <c r="N32" s="2"/>
      <c r="O32" s="2"/>
      <c r="P32" s="2"/>
    </row>
    <row r="33" spans="1:16" ht="18" customHeight="1">
      <c r="A33" s="1302"/>
      <c r="B33" s="1297"/>
      <c r="C33" s="1300"/>
      <c r="D33" s="3" t="s">
        <v>163</v>
      </c>
      <c r="E33" s="3"/>
      <c r="F33" s="5"/>
      <c r="G33" s="2"/>
      <c r="H33" s="2"/>
      <c r="I33" s="2"/>
      <c r="J33" s="2"/>
      <c r="K33" s="2"/>
      <c r="L33" s="2"/>
      <c r="M33" s="2"/>
      <c r="N33" s="2"/>
      <c r="O33" s="2"/>
      <c r="P33" s="2"/>
    </row>
    <row r="34" spans="1:16" ht="18" customHeight="1">
      <c r="A34" s="1302"/>
      <c r="B34" s="1297"/>
      <c r="C34" s="1300"/>
      <c r="D34" s="3" t="s">
        <v>164</v>
      </c>
      <c r="E34" s="3"/>
      <c r="F34" s="5"/>
      <c r="G34" s="2"/>
      <c r="H34" s="2"/>
      <c r="I34" s="2"/>
      <c r="J34" s="2"/>
      <c r="K34" s="2"/>
      <c r="L34" s="2"/>
      <c r="M34" s="2"/>
      <c r="N34" s="2"/>
      <c r="O34" s="2"/>
      <c r="P34" s="2"/>
    </row>
    <row r="35" spans="1:16" ht="18" customHeight="1">
      <c r="A35" s="1302"/>
      <c r="B35" s="1297"/>
      <c r="C35" s="1300" t="s">
        <v>165</v>
      </c>
      <c r="D35" s="3" t="s">
        <v>152</v>
      </c>
      <c r="E35" s="3"/>
      <c r="F35" s="5"/>
      <c r="G35" s="2"/>
      <c r="H35" s="2"/>
      <c r="I35" s="2"/>
      <c r="J35" s="2"/>
      <c r="K35" s="2"/>
      <c r="L35" s="2"/>
      <c r="M35" s="2"/>
      <c r="N35" s="2"/>
      <c r="O35" s="2"/>
      <c r="P35" s="2"/>
    </row>
    <row r="36" spans="1:16" ht="18" customHeight="1">
      <c r="A36" s="1302"/>
      <c r="B36" s="1297"/>
      <c r="C36" s="1300"/>
      <c r="D36" s="3" t="s">
        <v>153</v>
      </c>
      <c r="E36" s="3"/>
      <c r="F36" s="5"/>
      <c r="G36" s="2"/>
      <c r="H36" s="2"/>
      <c r="I36" s="2"/>
      <c r="J36" s="2"/>
      <c r="K36" s="2"/>
      <c r="L36" s="2"/>
      <c r="M36" s="2"/>
      <c r="N36" s="2"/>
      <c r="O36" s="2"/>
      <c r="P36" s="2"/>
    </row>
    <row r="37" spans="1:16" ht="18" customHeight="1">
      <c r="A37" s="1302"/>
      <c r="B37" s="1297"/>
      <c r="C37" s="1300"/>
      <c r="D37" s="3" t="s">
        <v>163</v>
      </c>
      <c r="E37" s="3"/>
      <c r="F37" s="5"/>
      <c r="G37" s="2"/>
      <c r="H37" s="2"/>
      <c r="I37" s="2"/>
      <c r="J37" s="2"/>
      <c r="K37" s="2"/>
      <c r="L37" s="2"/>
      <c r="M37" s="2"/>
      <c r="N37" s="2"/>
      <c r="O37" s="2"/>
      <c r="P37" s="2"/>
    </row>
    <row r="38" spans="1:16" ht="18" customHeight="1">
      <c r="A38" s="1302"/>
      <c r="B38" s="1297"/>
      <c r="C38" s="1300"/>
      <c r="D38" s="3" t="s">
        <v>154</v>
      </c>
      <c r="E38" s="3"/>
      <c r="F38" s="5"/>
      <c r="G38" s="2"/>
      <c r="H38" s="2"/>
      <c r="I38" s="2"/>
      <c r="J38" s="2"/>
      <c r="K38" s="2"/>
      <c r="L38" s="2"/>
      <c r="M38" s="2"/>
      <c r="N38" s="2"/>
      <c r="O38" s="2"/>
      <c r="P38" s="2"/>
    </row>
    <row r="39" spans="1:16" ht="18" customHeight="1">
      <c r="A39" s="1302"/>
      <c r="B39" s="1297"/>
      <c r="C39" s="1300" t="s">
        <v>166</v>
      </c>
      <c r="D39" s="3" t="s">
        <v>152</v>
      </c>
      <c r="E39" s="3"/>
      <c r="F39" s="5"/>
      <c r="G39" s="2"/>
      <c r="H39" s="2"/>
      <c r="I39" s="2"/>
      <c r="J39" s="2"/>
      <c r="K39" s="2"/>
      <c r="L39" s="2"/>
      <c r="M39" s="2"/>
      <c r="N39" s="2"/>
      <c r="O39" s="2"/>
      <c r="P39" s="2"/>
    </row>
    <row r="40" spans="1:16" ht="18" customHeight="1">
      <c r="A40" s="1302"/>
      <c r="B40" s="1297"/>
      <c r="C40" s="1300"/>
      <c r="D40" s="3" t="s">
        <v>153</v>
      </c>
      <c r="E40" s="3"/>
      <c r="F40" s="5"/>
      <c r="G40" s="2"/>
      <c r="H40" s="2"/>
      <c r="I40" s="2"/>
      <c r="J40" s="2"/>
      <c r="K40" s="2"/>
      <c r="L40" s="2"/>
      <c r="M40" s="2"/>
      <c r="N40" s="2"/>
      <c r="O40" s="2"/>
      <c r="P40" s="2"/>
    </row>
    <row r="41" spans="1:16" ht="18" customHeight="1">
      <c r="A41" s="1302"/>
      <c r="B41" s="1297"/>
      <c r="C41" s="1300"/>
      <c r="D41" s="3" t="s">
        <v>163</v>
      </c>
      <c r="E41" s="3"/>
      <c r="F41" s="5"/>
      <c r="G41" s="2"/>
      <c r="H41" s="2"/>
      <c r="I41" s="2"/>
      <c r="J41" s="2"/>
      <c r="K41" s="2"/>
      <c r="L41" s="2"/>
      <c r="M41" s="2"/>
      <c r="N41" s="2"/>
      <c r="O41" s="2"/>
      <c r="P41" s="2"/>
    </row>
    <row r="42" spans="1:16" ht="18" customHeight="1">
      <c r="A42" s="1303"/>
      <c r="B42" s="1297"/>
      <c r="C42" s="1300"/>
      <c r="D42" s="3" t="s">
        <v>154</v>
      </c>
      <c r="E42" s="3"/>
      <c r="F42" s="5"/>
      <c r="G42" s="2"/>
      <c r="H42" s="2"/>
      <c r="I42" s="2"/>
      <c r="J42" s="2"/>
      <c r="K42" s="2"/>
      <c r="L42" s="2"/>
      <c r="M42" s="2"/>
      <c r="N42" s="2"/>
      <c r="O42" s="2"/>
      <c r="P42" s="2"/>
    </row>
    <row r="43" spans="1:16" ht="18" customHeight="1">
      <c r="A43" s="1300" t="s">
        <v>167</v>
      </c>
      <c r="B43" s="1297" t="s">
        <v>161</v>
      </c>
      <c r="C43" s="1300" t="s">
        <v>168</v>
      </c>
      <c r="D43" s="3" t="s">
        <v>152</v>
      </c>
      <c r="E43" s="3"/>
      <c r="F43" s="5"/>
      <c r="G43" s="2"/>
      <c r="H43" s="2"/>
      <c r="I43" s="2"/>
      <c r="J43" s="2"/>
      <c r="K43" s="2"/>
      <c r="L43" s="2"/>
      <c r="M43" s="2"/>
      <c r="N43" s="2"/>
      <c r="O43" s="2"/>
      <c r="P43" s="2"/>
    </row>
    <row r="44" spans="1:16" ht="18" customHeight="1">
      <c r="A44" s="1300"/>
      <c r="B44" s="1297"/>
      <c r="C44" s="1300"/>
      <c r="D44" s="3" t="s">
        <v>153</v>
      </c>
      <c r="E44" s="3"/>
      <c r="F44" s="5"/>
      <c r="G44" s="2"/>
      <c r="H44" s="2"/>
      <c r="I44" s="2"/>
      <c r="J44" s="2"/>
      <c r="K44" s="2"/>
      <c r="L44" s="2"/>
      <c r="M44" s="2"/>
      <c r="N44" s="2"/>
      <c r="O44" s="2"/>
      <c r="P44" s="2"/>
    </row>
    <row r="45" spans="1:16" ht="18" customHeight="1">
      <c r="A45" s="1300"/>
      <c r="B45" s="1297"/>
      <c r="C45" s="1300"/>
      <c r="D45" s="3" t="s">
        <v>163</v>
      </c>
      <c r="E45" s="3"/>
      <c r="F45" s="5"/>
      <c r="G45" s="2"/>
      <c r="H45" s="2"/>
      <c r="I45" s="2"/>
      <c r="J45" s="2"/>
      <c r="K45" s="2"/>
      <c r="L45" s="2"/>
      <c r="M45" s="2"/>
      <c r="N45" s="2"/>
      <c r="O45" s="2"/>
      <c r="P45" s="2"/>
    </row>
    <row r="46" spans="1:16" ht="18" customHeight="1">
      <c r="A46" s="1300"/>
      <c r="B46" s="1297"/>
      <c r="C46" s="1300" t="s">
        <v>169</v>
      </c>
      <c r="D46" s="3" t="s">
        <v>152</v>
      </c>
      <c r="E46" s="3"/>
      <c r="F46" s="5"/>
      <c r="G46" s="2"/>
      <c r="H46" s="2"/>
      <c r="I46" s="2"/>
      <c r="J46" s="2"/>
      <c r="K46" s="2"/>
      <c r="L46" s="2"/>
      <c r="M46" s="2"/>
      <c r="N46" s="2"/>
      <c r="O46" s="2"/>
      <c r="P46" s="2"/>
    </row>
    <row r="47" spans="1:16" ht="18" customHeight="1">
      <c r="A47" s="1300"/>
      <c r="B47" s="1297"/>
      <c r="C47" s="1300"/>
      <c r="D47" s="3" t="s">
        <v>153</v>
      </c>
      <c r="E47" s="3"/>
      <c r="F47" s="5"/>
      <c r="G47" s="2"/>
      <c r="H47" s="2"/>
      <c r="I47" s="2"/>
      <c r="J47" s="2"/>
      <c r="K47" s="2"/>
      <c r="L47" s="2"/>
      <c r="M47" s="2"/>
      <c r="N47" s="2"/>
      <c r="O47" s="2"/>
      <c r="P47" s="2"/>
    </row>
    <row r="48" spans="1:16" ht="18" customHeight="1">
      <c r="A48" s="1300"/>
      <c r="B48" s="1297"/>
      <c r="C48" s="1300"/>
      <c r="D48" s="3" t="s">
        <v>163</v>
      </c>
      <c r="E48" s="3"/>
      <c r="F48" s="5"/>
      <c r="G48" s="2"/>
      <c r="H48" s="2"/>
      <c r="I48" s="2"/>
      <c r="J48" s="2"/>
      <c r="K48" s="2"/>
      <c r="L48" s="2"/>
      <c r="M48" s="2"/>
      <c r="N48" s="2"/>
      <c r="O48" s="2"/>
      <c r="P48" s="2"/>
    </row>
    <row r="49" spans="1:16" ht="18" customHeight="1">
      <c r="A49" s="1300"/>
      <c r="B49" s="1297"/>
      <c r="C49" s="1300" t="s">
        <v>162</v>
      </c>
      <c r="D49" s="3" t="s">
        <v>152</v>
      </c>
      <c r="E49" s="3"/>
      <c r="F49" s="5"/>
      <c r="G49" s="2"/>
      <c r="H49" s="2"/>
      <c r="I49" s="2"/>
      <c r="J49" s="2"/>
      <c r="K49" s="2"/>
      <c r="L49" s="2"/>
      <c r="M49" s="2"/>
      <c r="N49" s="2"/>
      <c r="O49" s="2"/>
      <c r="P49" s="2"/>
    </row>
    <row r="50" spans="1:16" ht="18" customHeight="1">
      <c r="A50" s="1300"/>
      <c r="B50" s="1297"/>
      <c r="C50" s="1300"/>
      <c r="D50" s="3" t="s">
        <v>153</v>
      </c>
      <c r="E50" s="3"/>
      <c r="F50" s="5"/>
      <c r="G50" s="2"/>
      <c r="H50" s="2"/>
      <c r="I50" s="2"/>
      <c r="J50" s="2"/>
      <c r="K50" s="2"/>
      <c r="L50" s="2"/>
      <c r="M50" s="2"/>
      <c r="N50" s="2"/>
      <c r="O50" s="2"/>
      <c r="P50" s="2"/>
    </row>
    <row r="51" spans="1:16" ht="18" customHeight="1">
      <c r="A51" s="1300"/>
      <c r="B51" s="1297"/>
      <c r="C51" s="1300"/>
      <c r="D51" s="3" t="s">
        <v>163</v>
      </c>
      <c r="E51" s="3"/>
      <c r="F51" s="5"/>
      <c r="G51" s="2"/>
      <c r="H51" s="2"/>
      <c r="I51" s="2"/>
      <c r="J51" s="2"/>
      <c r="K51" s="2"/>
      <c r="L51" s="2"/>
      <c r="M51" s="2"/>
      <c r="N51" s="2"/>
      <c r="O51" s="2"/>
      <c r="P51" s="2"/>
    </row>
    <row r="52" spans="1:16" ht="18" customHeight="1">
      <c r="A52" s="1309" t="s">
        <v>170</v>
      </c>
      <c r="B52" s="5"/>
      <c r="C52" s="5"/>
      <c r="D52" s="5" t="s">
        <v>171</v>
      </c>
      <c r="E52" s="5"/>
      <c r="F52" s="5"/>
      <c r="G52" s="2"/>
      <c r="H52" s="2"/>
      <c r="I52" s="2"/>
      <c r="J52" s="2"/>
      <c r="K52" s="2"/>
      <c r="L52" s="2"/>
      <c r="M52" s="2"/>
      <c r="N52" s="2"/>
      <c r="O52" s="2"/>
      <c r="P52" s="2"/>
    </row>
    <row r="53" spans="1:16" ht="18" customHeight="1">
      <c r="A53" s="1309"/>
      <c r="B53" s="5"/>
      <c r="C53" s="5"/>
      <c r="D53" s="5" t="s">
        <v>172</v>
      </c>
      <c r="E53" s="5"/>
      <c r="F53" s="5"/>
      <c r="G53" s="2"/>
      <c r="H53" s="2"/>
      <c r="I53" s="2"/>
      <c r="J53" s="2"/>
      <c r="K53" s="2"/>
      <c r="L53" s="2"/>
      <c r="M53" s="2"/>
      <c r="N53" s="2"/>
      <c r="O53" s="2"/>
      <c r="P53" s="2"/>
    </row>
    <row r="54" spans="1:16" ht="18" customHeight="1">
      <c r="A54" s="1309"/>
      <c r="B54" s="5"/>
      <c r="C54" s="5"/>
      <c r="D54" s="5" t="s">
        <v>173</v>
      </c>
      <c r="E54" s="5"/>
      <c r="F54" s="5"/>
      <c r="G54" s="2"/>
      <c r="H54" s="2"/>
      <c r="I54" s="2"/>
      <c r="J54" s="2"/>
      <c r="K54" s="2"/>
      <c r="L54" s="2"/>
      <c r="M54" s="2"/>
      <c r="N54" s="2"/>
      <c r="O54" s="2"/>
      <c r="P54" s="2"/>
    </row>
    <row r="55" spans="1:16" ht="18" customHeight="1">
      <c r="A55" s="1309"/>
      <c r="B55" s="5"/>
      <c r="C55" s="5"/>
      <c r="D55" s="5" t="s">
        <v>174</v>
      </c>
      <c r="E55" s="5"/>
      <c r="F55" s="5"/>
      <c r="G55" s="2"/>
      <c r="H55" s="2"/>
      <c r="I55" s="2"/>
      <c r="J55" s="2"/>
      <c r="K55" s="2"/>
      <c r="L55" s="2"/>
      <c r="M55" s="2"/>
      <c r="N55" s="2"/>
      <c r="O55" s="2"/>
      <c r="P55" s="2"/>
    </row>
    <row r="56" spans="1:16" ht="18" customHeight="1">
      <c r="A56" s="1310" t="s">
        <v>175</v>
      </c>
      <c r="B56" s="5"/>
      <c r="C56" s="5"/>
      <c r="D56" s="5" t="s">
        <v>176</v>
      </c>
      <c r="E56" s="5"/>
      <c r="F56" s="5"/>
      <c r="G56" s="2"/>
      <c r="H56" s="2"/>
      <c r="I56" s="2"/>
      <c r="J56" s="2"/>
      <c r="K56" s="2"/>
      <c r="L56" s="2"/>
      <c r="M56" s="2"/>
      <c r="N56" s="2"/>
      <c r="O56" s="2"/>
      <c r="P56" s="2"/>
    </row>
    <row r="57" spans="1:16" ht="18" customHeight="1">
      <c r="A57" s="1311"/>
      <c r="B57" s="5"/>
      <c r="C57" s="5"/>
      <c r="D57" s="5" t="s">
        <v>177</v>
      </c>
      <c r="E57" s="5"/>
      <c r="F57" s="5"/>
      <c r="G57" s="2"/>
      <c r="H57" s="2"/>
      <c r="I57" s="2"/>
      <c r="J57" s="2"/>
      <c r="K57" s="2"/>
      <c r="L57" s="2"/>
      <c r="M57" s="2"/>
      <c r="N57" s="2"/>
      <c r="O57" s="2"/>
      <c r="P57" s="2"/>
    </row>
    <row r="58" spans="1:16" ht="18" customHeight="1">
      <c r="A58" s="1312"/>
      <c r="B58" s="5"/>
      <c r="C58" s="5"/>
      <c r="D58" s="5" t="s">
        <v>178</v>
      </c>
      <c r="E58" s="5"/>
      <c r="F58" s="5"/>
      <c r="G58" s="2"/>
      <c r="H58" s="2"/>
      <c r="I58" s="2"/>
      <c r="J58" s="2"/>
      <c r="K58" s="2"/>
      <c r="L58" s="2"/>
      <c r="M58" s="2"/>
      <c r="N58" s="2"/>
      <c r="O58" s="2"/>
      <c r="P58" s="2"/>
    </row>
    <row r="59" spans="1:16" ht="18" customHeight="1">
      <c r="A59" s="1307" t="s">
        <v>1160</v>
      </c>
      <c r="B59" s="1307"/>
      <c r="C59" s="1307"/>
      <c r="D59" s="1307"/>
      <c r="E59" s="1307"/>
      <c r="F59" s="1307"/>
      <c r="G59" s="2"/>
      <c r="H59" s="2"/>
      <c r="I59" s="2"/>
      <c r="J59" s="2"/>
      <c r="K59" s="2"/>
      <c r="L59" s="2"/>
      <c r="M59" s="2"/>
      <c r="N59" s="2"/>
      <c r="O59" s="2"/>
      <c r="P59" s="2"/>
    </row>
    <row r="60" spans="1:16" ht="18" customHeight="1">
      <c r="A60" s="7" t="s">
        <v>124</v>
      </c>
      <c r="B60" s="7" t="s">
        <v>1161</v>
      </c>
      <c r="C60" s="7" t="s">
        <v>1162</v>
      </c>
      <c r="D60" s="7" t="s">
        <v>1163</v>
      </c>
      <c r="E60" s="7" t="s">
        <v>1164</v>
      </c>
      <c r="F60" s="7" t="s">
        <v>1165</v>
      </c>
      <c r="G60" s="2"/>
      <c r="H60" s="2"/>
      <c r="I60" s="2"/>
      <c r="J60" s="2"/>
      <c r="K60" s="2"/>
      <c r="L60" s="2"/>
      <c r="M60" s="2"/>
      <c r="N60" s="2"/>
      <c r="O60" s="2"/>
      <c r="P60" s="2"/>
    </row>
    <row r="61" spans="1:16" ht="18" customHeight="1">
      <c r="A61" s="6" t="s">
        <v>130</v>
      </c>
      <c r="B61" s="5"/>
      <c r="C61" s="5"/>
      <c r="D61" s="5"/>
      <c r="E61" s="5"/>
      <c r="F61" s="5"/>
      <c r="G61" s="2"/>
      <c r="H61" s="2"/>
      <c r="I61" s="2"/>
      <c r="J61" s="2"/>
      <c r="K61" s="2"/>
      <c r="L61" s="2"/>
      <c r="M61" s="2"/>
      <c r="N61" s="2"/>
      <c r="O61" s="2"/>
      <c r="P61" s="2"/>
    </row>
    <row r="62" spans="1:16" ht="18" customHeight="1">
      <c r="A62" s="6" t="s">
        <v>132</v>
      </c>
      <c r="B62" s="5"/>
      <c r="C62" s="5"/>
      <c r="D62" s="5"/>
      <c r="E62" s="5"/>
      <c r="F62" s="5"/>
      <c r="G62" s="2"/>
      <c r="H62" s="2"/>
      <c r="I62" s="2"/>
      <c r="J62" s="2"/>
      <c r="K62" s="2"/>
      <c r="L62" s="2"/>
      <c r="M62" s="2"/>
      <c r="N62" s="2"/>
      <c r="O62" s="2"/>
      <c r="P62" s="2"/>
    </row>
    <row r="63" spans="1:16" ht="13.5" customHeight="1">
      <c r="A63" s="1308" t="s">
        <v>1166</v>
      </c>
      <c r="B63" s="1308"/>
      <c r="C63" s="1308"/>
      <c r="D63" s="1308"/>
      <c r="E63" s="1308"/>
      <c r="F63" s="1308"/>
      <c r="G63" s="2"/>
      <c r="H63" s="2"/>
      <c r="I63" s="2"/>
      <c r="J63" s="2"/>
      <c r="K63" s="2"/>
      <c r="L63" s="2"/>
      <c r="M63" s="2"/>
      <c r="N63" s="2"/>
      <c r="O63" s="2"/>
      <c r="P63" s="2"/>
    </row>
    <row r="64" spans="1:16">
      <c r="B64" s="2"/>
      <c r="C64" s="2"/>
      <c r="D64" s="2"/>
      <c r="E64" s="2"/>
      <c r="F64" s="2"/>
      <c r="G64" s="2"/>
      <c r="H64" s="2"/>
      <c r="I64" s="2"/>
      <c r="J64" s="2"/>
      <c r="K64" s="2"/>
      <c r="L64" s="2"/>
      <c r="M64" s="2"/>
      <c r="N64" s="2"/>
      <c r="O64" s="2"/>
      <c r="P64" s="2"/>
    </row>
    <row r="65" spans="2:16">
      <c r="B65" s="2"/>
      <c r="C65" s="2"/>
      <c r="D65" s="2"/>
      <c r="E65" s="2"/>
      <c r="F65" s="2"/>
      <c r="G65" s="2"/>
      <c r="H65" s="2"/>
      <c r="I65" s="2"/>
      <c r="J65" s="2"/>
      <c r="K65" s="2"/>
      <c r="L65" s="2"/>
      <c r="M65" s="2"/>
      <c r="N65" s="2"/>
      <c r="O65" s="2"/>
      <c r="P65" s="2"/>
    </row>
    <row r="66" spans="2:16">
      <c r="B66" s="2"/>
      <c r="C66" s="2"/>
      <c r="D66" s="2"/>
      <c r="E66" s="2"/>
      <c r="F66" s="2"/>
      <c r="G66" s="2"/>
      <c r="H66" s="2"/>
      <c r="I66" s="2"/>
      <c r="J66" s="2"/>
      <c r="K66" s="2"/>
      <c r="L66" s="2"/>
      <c r="M66" s="2"/>
      <c r="N66" s="2"/>
      <c r="O66" s="2"/>
      <c r="P66" s="2"/>
    </row>
    <row r="67" spans="2:16">
      <c r="B67" s="2"/>
      <c r="C67" s="2"/>
      <c r="D67" s="2"/>
      <c r="E67" s="2"/>
      <c r="F67" s="2"/>
      <c r="G67" s="2"/>
      <c r="H67" s="2"/>
      <c r="I67" s="2"/>
      <c r="J67" s="2"/>
      <c r="K67" s="2"/>
      <c r="L67" s="2"/>
      <c r="M67" s="2"/>
      <c r="N67" s="2"/>
      <c r="O67" s="2"/>
      <c r="P67" s="2"/>
    </row>
    <row r="68" spans="2:16">
      <c r="B68" s="2"/>
      <c r="C68" s="2"/>
      <c r="D68" s="2"/>
      <c r="E68" s="2"/>
      <c r="F68" s="2"/>
      <c r="G68" s="2"/>
      <c r="H68" s="2"/>
      <c r="I68" s="2"/>
      <c r="J68" s="2"/>
      <c r="K68" s="2"/>
      <c r="L68" s="2"/>
      <c r="M68" s="2"/>
      <c r="N68" s="2"/>
      <c r="O68" s="2"/>
      <c r="P68" s="2"/>
    </row>
    <row r="69" spans="2:16">
      <c r="B69" s="2"/>
      <c r="C69" s="2"/>
      <c r="D69" s="2"/>
      <c r="E69" s="2"/>
      <c r="F69" s="2"/>
      <c r="G69" s="2"/>
      <c r="H69" s="2"/>
      <c r="I69" s="2"/>
      <c r="J69" s="2"/>
      <c r="K69" s="2"/>
      <c r="L69" s="2"/>
      <c r="M69" s="2"/>
      <c r="N69" s="2"/>
      <c r="O69" s="2"/>
      <c r="P69" s="2"/>
    </row>
    <row r="70" spans="2:16">
      <c r="B70" s="2"/>
      <c r="C70" s="2"/>
      <c r="D70" s="2"/>
      <c r="E70" s="2"/>
      <c r="F70" s="2"/>
      <c r="G70" s="2"/>
      <c r="H70" s="2"/>
      <c r="I70" s="2"/>
      <c r="J70" s="2"/>
      <c r="K70" s="2"/>
      <c r="L70" s="2"/>
      <c r="M70" s="2"/>
      <c r="N70" s="2"/>
      <c r="O70" s="2"/>
      <c r="P70" s="2"/>
    </row>
    <row r="71" spans="2:16">
      <c r="B71" s="2"/>
      <c r="C71" s="2"/>
      <c r="D71" s="2"/>
      <c r="E71" s="2"/>
      <c r="F71" s="2"/>
      <c r="G71" s="2"/>
      <c r="H71" s="2"/>
      <c r="I71" s="2"/>
      <c r="J71" s="2"/>
      <c r="K71" s="2"/>
      <c r="L71" s="2"/>
      <c r="M71" s="2"/>
      <c r="N71" s="2"/>
      <c r="O71" s="2"/>
      <c r="P71" s="2"/>
    </row>
    <row r="72" spans="2:16">
      <c r="B72" s="2"/>
      <c r="C72" s="2"/>
      <c r="D72" s="2"/>
      <c r="E72" s="2"/>
      <c r="F72" s="2"/>
      <c r="G72" s="2"/>
      <c r="H72" s="2"/>
      <c r="I72" s="2"/>
      <c r="J72" s="2"/>
      <c r="K72" s="2"/>
      <c r="L72" s="2"/>
      <c r="M72" s="2"/>
      <c r="N72" s="2"/>
      <c r="O72" s="2"/>
      <c r="P72" s="2"/>
    </row>
    <row r="73" spans="2:16">
      <c r="B73" s="2"/>
      <c r="C73" s="2"/>
      <c r="D73" s="2"/>
      <c r="E73" s="2"/>
      <c r="F73" s="2"/>
      <c r="G73" s="2"/>
      <c r="H73" s="2"/>
      <c r="I73" s="2"/>
      <c r="J73" s="2"/>
      <c r="K73" s="2"/>
      <c r="L73" s="2"/>
      <c r="M73" s="2"/>
      <c r="N73" s="2"/>
      <c r="O73" s="2"/>
      <c r="P73" s="2"/>
    </row>
    <row r="74" spans="2:16">
      <c r="B74" s="2"/>
      <c r="C74" s="2"/>
      <c r="D74" s="2"/>
      <c r="E74" s="2"/>
      <c r="F74" s="2"/>
      <c r="G74" s="2"/>
      <c r="H74" s="2"/>
      <c r="I74" s="2"/>
      <c r="J74" s="2"/>
      <c r="K74" s="2"/>
      <c r="L74" s="2"/>
      <c r="M74" s="2"/>
      <c r="N74" s="2"/>
      <c r="O74" s="2"/>
      <c r="P74" s="2"/>
    </row>
    <row r="75" spans="2:16">
      <c r="B75" s="2"/>
      <c r="C75" s="2"/>
      <c r="D75" s="2"/>
      <c r="E75" s="2"/>
      <c r="F75" s="2"/>
      <c r="G75" s="2"/>
      <c r="H75" s="2"/>
      <c r="I75" s="2"/>
      <c r="J75" s="2"/>
      <c r="K75" s="2"/>
      <c r="L75" s="2"/>
      <c r="M75" s="2"/>
      <c r="N75" s="2"/>
      <c r="O75" s="2"/>
      <c r="P75" s="2"/>
    </row>
    <row r="76" spans="2:16">
      <c r="B76" s="2"/>
      <c r="C76" s="2"/>
      <c r="D76" s="2"/>
      <c r="E76" s="2"/>
      <c r="F76" s="2"/>
      <c r="G76" s="2"/>
      <c r="H76" s="2"/>
      <c r="I76" s="2"/>
      <c r="J76" s="2"/>
      <c r="K76" s="2"/>
      <c r="L76" s="2"/>
      <c r="M76" s="2"/>
      <c r="N76" s="2"/>
      <c r="O76" s="2"/>
      <c r="P76" s="2"/>
    </row>
    <row r="77" spans="2:16">
      <c r="B77" s="2"/>
      <c r="C77" s="2"/>
      <c r="D77" s="2"/>
      <c r="E77" s="2"/>
      <c r="F77" s="2"/>
      <c r="G77" s="2"/>
      <c r="H77" s="2"/>
      <c r="I77" s="2"/>
      <c r="J77" s="2"/>
      <c r="K77" s="2"/>
      <c r="L77" s="2"/>
      <c r="M77" s="2"/>
      <c r="N77" s="2"/>
      <c r="O77" s="2"/>
      <c r="P77" s="2"/>
    </row>
    <row r="78" spans="2:16">
      <c r="B78" s="2"/>
      <c r="C78" s="2"/>
      <c r="D78" s="2"/>
      <c r="E78" s="2"/>
      <c r="F78" s="2"/>
      <c r="G78" s="2"/>
      <c r="H78" s="2"/>
      <c r="I78" s="2"/>
      <c r="J78" s="2"/>
      <c r="K78" s="2"/>
      <c r="L78" s="2"/>
      <c r="M78" s="2"/>
      <c r="N78" s="2"/>
      <c r="O78" s="2"/>
      <c r="P78" s="2"/>
    </row>
    <row r="79" spans="2:16">
      <c r="B79" s="2"/>
      <c r="C79" s="2"/>
      <c r="D79" s="2"/>
      <c r="E79" s="2"/>
      <c r="F79" s="2"/>
      <c r="G79" s="2"/>
      <c r="H79" s="2"/>
      <c r="I79" s="2"/>
      <c r="J79" s="2"/>
      <c r="K79" s="2"/>
      <c r="L79" s="2"/>
      <c r="M79" s="2"/>
      <c r="N79" s="2"/>
      <c r="O79" s="2"/>
      <c r="P79" s="2"/>
    </row>
    <row r="80" spans="2:16">
      <c r="B80" s="2"/>
      <c r="C80" s="2"/>
      <c r="D80" s="2"/>
      <c r="E80" s="2"/>
      <c r="F80" s="2"/>
      <c r="G80" s="2"/>
      <c r="H80" s="2"/>
      <c r="I80" s="2"/>
      <c r="J80" s="2"/>
      <c r="K80" s="2"/>
      <c r="L80" s="2"/>
      <c r="M80" s="2"/>
      <c r="N80" s="2"/>
      <c r="O80" s="2"/>
      <c r="P80" s="2"/>
    </row>
    <row r="81" spans="2:16">
      <c r="B81" s="2"/>
      <c r="C81" s="2"/>
      <c r="D81" s="2"/>
      <c r="E81" s="2"/>
      <c r="F81" s="2"/>
      <c r="G81" s="2"/>
      <c r="H81" s="2"/>
      <c r="I81" s="2"/>
      <c r="J81" s="2"/>
      <c r="K81" s="2"/>
      <c r="L81" s="2"/>
      <c r="M81" s="2"/>
      <c r="N81" s="2"/>
      <c r="O81" s="2"/>
      <c r="P81" s="2"/>
    </row>
    <row r="82" spans="2:16">
      <c r="B82" s="2"/>
      <c r="C82" s="2"/>
      <c r="D82" s="2"/>
      <c r="E82" s="2"/>
      <c r="F82" s="2"/>
      <c r="G82" s="2"/>
      <c r="H82" s="2"/>
      <c r="I82" s="2"/>
      <c r="J82" s="2"/>
      <c r="K82" s="2"/>
      <c r="L82" s="2"/>
      <c r="M82" s="2"/>
      <c r="N82" s="2"/>
      <c r="O82" s="2"/>
      <c r="P82" s="2"/>
    </row>
    <row r="83" spans="2:16">
      <c r="B83" s="2"/>
      <c r="C83" s="2"/>
      <c r="D83" s="2"/>
      <c r="E83" s="2"/>
      <c r="F83" s="2"/>
      <c r="G83" s="2"/>
      <c r="H83" s="2"/>
      <c r="I83" s="2"/>
      <c r="J83" s="2"/>
      <c r="K83" s="2"/>
      <c r="L83" s="2"/>
      <c r="M83" s="2"/>
      <c r="N83" s="2"/>
      <c r="O83" s="2"/>
      <c r="P83" s="2"/>
    </row>
  </sheetData>
  <mergeCells count="28">
    <mergeCell ref="C46:C48"/>
    <mergeCell ref="C49:C51"/>
    <mergeCell ref="B9:C9"/>
    <mergeCell ref="A59:F59"/>
    <mergeCell ref="A63:F63"/>
    <mergeCell ref="A10:A13"/>
    <mergeCell ref="A14:A42"/>
    <mergeCell ref="A43:A51"/>
    <mergeCell ref="A52:A55"/>
    <mergeCell ref="A56:A58"/>
    <mergeCell ref="B14:B30"/>
    <mergeCell ref="B31:B42"/>
    <mergeCell ref="B43:B51"/>
    <mergeCell ref="C14:C16"/>
    <mergeCell ref="C17:C20"/>
    <mergeCell ref="C21:C25"/>
    <mergeCell ref="D10:D12"/>
    <mergeCell ref="A1:F2"/>
    <mergeCell ref="C35:C38"/>
    <mergeCell ref="C39:C42"/>
    <mergeCell ref="C43:C45"/>
    <mergeCell ref="C26:C30"/>
    <mergeCell ref="C31:C34"/>
    <mergeCell ref="A3:F3"/>
    <mergeCell ref="B4:C4"/>
    <mergeCell ref="E4:F4"/>
    <mergeCell ref="B5:D5"/>
    <mergeCell ref="A8:F8"/>
  </mergeCells>
  <phoneticPr fontId="4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showGridLines="0" topLeftCell="B2" workbookViewId="0">
      <pane xSplit="3" ySplit="3" topLeftCell="E17" activePane="bottomRight" state="frozen"/>
      <selection pane="topRight"/>
      <selection pane="bottomLeft"/>
      <selection pane="bottomRight" activeCell="K18" sqref="K18"/>
    </sheetView>
  </sheetViews>
  <sheetFormatPr defaultColWidth="9" defaultRowHeight="13.5"/>
  <cols>
    <col min="1" max="1" width="9" hidden="1" customWidth="1"/>
    <col min="2" max="2" width="9" customWidth="1"/>
    <col min="3" max="3" width="17.625" customWidth="1"/>
    <col min="4" max="4" width="29.625" customWidth="1"/>
    <col min="5" max="8" width="12.625" customWidth="1"/>
  </cols>
  <sheetData>
    <row r="1" spans="1:20" ht="28.15" customHeight="1">
      <c r="A1" s="74"/>
      <c r="B1" s="1076" t="s">
        <v>179</v>
      </c>
      <c r="C1" s="1077"/>
      <c r="D1" s="1077"/>
      <c r="E1" s="1077"/>
      <c r="F1" s="1077"/>
      <c r="G1" s="1077"/>
      <c r="H1" s="1077"/>
    </row>
    <row r="2" spans="1:20" ht="28.15" customHeight="1">
      <c r="A2" s="74"/>
      <c r="B2" s="1078"/>
      <c r="C2" s="1078"/>
      <c r="D2" s="1078"/>
      <c r="E2" s="1078"/>
      <c r="F2" s="1078"/>
      <c r="G2" s="1078"/>
      <c r="H2" s="1078"/>
    </row>
    <row r="3" spans="1:20">
      <c r="A3" s="597"/>
      <c r="B3" s="1079" t="s">
        <v>135</v>
      </c>
      <c r="C3" s="1080"/>
      <c r="D3" s="1080"/>
      <c r="E3" s="1083" t="s">
        <v>180</v>
      </c>
      <c r="F3" s="1083"/>
      <c r="G3" s="1083"/>
      <c r="H3" s="1083"/>
      <c r="I3" s="1072" t="s">
        <v>181</v>
      </c>
      <c r="J3" s="1072"/>
      <c r="K3" s="1072"/>
      <c r="L3" s="1072"/>
      <c r="M3" s="1072" t="s">
        <v>182</v>
      </c>
      <c r="N3" s="1072"/>
      <c r="O3" s="1072"/>
      <c r="P3" s="1072"/>
      <c r="Q3" s="1072" t="s">
        <v>183</v>
      </c>
      <c r="R3" s="1072"/>
      <c r="S3" s="1072"/>
      <c r="T3" s="1073"/>
    </row>
    <row r="4" spans="1:20">
      <c r="A4" s="598"/>
      <c r="B4" s="1081"/>
      <c r="C4" s="1082"/>
      <c r="D4" s="1082"/>
      <c r="E4" s="260" t="s">
        <v>184</v>
      </c>
      <c r="F4" s="260" t="s">
        <v>185</v>
      </c>
      <c r="G4" s="260" t="s">
        <v>186</v>
      </c>
      <c r="H4" s="260" t="s">
        <v>187</v>
      </c>
      <c r="I4" s="285" t="s">
        <v>184</v>
      </c>
      <c r="J4" s="285" t="s">
        <v>185</v>
      </c>
      <c r="K4" s="285" t="s">
        <v>186</v>
      </c>
      <c r="L4" s="285" t="s">
        <v>187</v>
      </c>
      <c r="M4" s="285" t="s">
        <v>184</v>
      </c>
      <c r="N4" s="285" t="s">
        <v>185</v>
      </c>
      <c r="O4" s="285" t="s">
        <v>186</v>
      </c>
      <c r="P4" s="285" t="s">
        <v>187</v>
      </c>
      <c r="Q4" s="285" t="s">
        <v>184</v>
      </c>
      <c r="R4" s="285" t="s">
        <v>185</v>
      </c>
      <c r="S4" s="285" t="s">
        <v>186</v>
      </c>
      <c r="T4" s="286" t="s">
        <v>187</v>
      </c>
    </row>
    <row r="5" spans="1:20" ht="18" customHeight="1">
      <c r="A5" s="930" t="s">
        <v>188</v>
      </c>
      <c r="B5" s="1074" t="s">
        <v>189</v>
      </c>
      <c r="C5" s="1075"/>
      <c r="D5" s="931"/>
      <c r="E5" s="932"/>
      <c r="F5" s="932"/>
      <c r="G5" s="933"/>
      <c r="H5" s="933"/>
      <c r="I5" s="945"/>
      <c r="J5" s="945"/>
      <c r="K5" s="945"/>
      <c r="L5" s="945"/>
      <c r="M5" s="945"/>
      <c r="N5" s="945"/>
      <c r="O5" s="945"/>
      <c r="P5" s="945"/>
      <c r="Q5" s="945"/>
      <c r="R5" s="945"/>
      <c r="S5" s="945"/>
      <c r="T5" s="951"/>
    </row>
    <row r="6" spans="1:20" ht="18" customHeight="1">
      <c r="A6" s="374" t="s">
        <v>190</v>
      </c>
      <c r="B6" s="1056" t="s">
        <v>191</v>
      </c>
      <c r="C6" s="1062" t="s">
        <v>192</v>
      </c>
      <c r="D6" s="934" t="s">
        <v>193</v>
      </c>
      <c r="E6" s="935"/>
      <c r="F6" s="936"/>
      <c r="G6" s="936"/>
      <c r="H6" s="936"/>
      <c r="I6" s="946"/>
      <c r="J6" s="946"/>
      <c r="K6" s="946"/>
      <c r="L6" s="946"/>
      <c r="M6" s="946"/>
      <c r="N6" s="946"/>
      <c r="O6" s="946"/>
      <c r="P6" s="946"/>
      <c r="Q6" s="948"/>
      <c r="R6" s="948"/>
      <c r="S6" s="948"/>
      <c r="T6" s="952"/>
    </row>
    <row r="7" spans="1:20" ht="18" customHeight="1">
      <c r="A7" s="368" t="s">
        <v>194</v>
      </c>
      <c r="B7" s="1057"/>
      <c r="C7" s="1063"/>
      <c r="D7" s="937" t="s">
        <v>195</v>
      </c>
      <c r="E7" s="938"/>
      <c r="F7" s="938"/>
      <c r="G7" s="939"/>
      <c r="H7" s="939"/>
      <c r="I7" s="947"/>
      <c r="J7" s="947"/>
      <c r="K7" s="947"/>
      <c r="L7" s="947"/>
      <c r="M7" s="947"/>
      <c r="N7" s="947"/>
      <c r="O7" s="947"/>
      <c r="P7" s="947"/>
      <c r="Q7" s="947"/>
      <c r="R7" s="947"/>
      <c r="S7" s="947"/>
      <c r="T7" s="953"/>
    </row>
    <row r="8" spans="1:20" ht="18" customHeight="1">
      <c r="A8" s="374" t="s">
        <v>196</v>
      </c>
      <c r="B8" s="1057"/>
      <c r="C8" s="1064" t="s">
        <v>197</v>
      </c>
      <c r="D8" s="934" t="s">
        <v>193</v>
      </c>
      <c r="E8" s="935"/>
      <c r="F8" s="936"/>
      <c r="G8" s="936"/>
      <c r="H8" s="936"/>
      <c r="I8" s="946"/>
      <c r="J8" s="946"/>
      <c r="K8" s="946"/>
      <c r="L8" s="946"/>
      <c r="M8" s="946"/>
      <c r="N8" s="946"/>
      <c r="O8" s="946"/>
      <c r="P8" s="946"/>
      <c r="Q8" s="948"/>
      <c r="R8" s="948"/>
      <c r="S8" s="948"/>
      <c r="T8" s="952"/>
    </row>
    <row r="9" spans="1:20" ht="18" customHeight="1">
      <c r="A9" s="368" t="s">
        <v>198</v>
      </c>
      <c r="B9" s="1057"/>
      <c r="C9" s="1065"/>
      <c r="D9" s="937" t="s">
        <v>195</v>
      </c>
      <c r="E9" s="938"/>
      <c r="F9" s="938"/>
      <c r="G9" s="939"/>
      <c r="H9" s="939"/>
      <c r="I9" s="947"/>
      <c r="J9" s="947"/>
      <c r="K9" s="947"/>
      <c r="L9" s="947"/>
      <c r="M9" s="947"/>
      <c r="N9" s="947"/>
      <c r="O9" s="947"/>
      <c r="P9" s="947"/>
      <c r="Q9" s="947"/>
      <c r="R9" s="947"/>
      <c r="S9" s="947"/>
      <c r="T9" s="954"/>
    </row>
    <row r="10" spans="1:20" ht="18" customHeight="1">
      <c r="A10" s="374" t="s">
        <v>199</v>
      </c>
      <c r="B10" s="1057"/>
      <c r="C10" s="1062" t="s">
        <v>200</v>
      </c>
      <c r="D10" s="934" t="s">
        <v>193</v>
      </c>
      <c r="E10" s="935"/>
      <c r="F10" s="936"/>
      <c r="G10" s="936"/>
      <c r="H10" s="936"/>
      <c r="I10" s="946"/>
      <c r="J10" s="946"/>
      <c r="K10" s="946"/>
      <c r="L10" s="946"/>
      <c r="M10" s="946"/>
      <c r="N10" s="946"/>
      <c r="O10" s="946"/>
      <c r="P10" s="946"/>
      <c r="Q10" s="948"/>
      <c r="R10" s="948"/>
      <c r="S10" s="948"/>
      <c r="T10" s="952"/>
    </row>
    <row r="11" spans="1:20" ht="18" customHeight="1">
      <c r="A11" s="368" t="s">
        <v>201</v>
      </c>
      <c r="B11" s="1058"/>
      <c r="C11" s="1063"/>
      <c r="D11" s="937" t="s">
        <v>195</v>
      </c>
      <c r="E11" s="938"/>
      <c r="F11" s="938"/>
      <c r="G11" s="939"/>
      <c r="H11" s="939"/>
      <c r="I11" s="947"/>
      <c r="J11" s="947"/>
      <c r="K11" s="947"/>
      <c r="L11" s="947"/>
      <c r="M11" s="947"/>
      <c r="N11" s="947"/>
      <c r="O11" s="947"/>
      <c r="P11" s="947"/>
      <c r="Q11" s="947"/>
      <c r="R11" s="947"/>
      <c r="S11" s="947"/>
      <c r="T11" s="954"/>
    </row>
    <row r="12" spans="1:20" ht="18" customHeight="1">
      <c r="A12" s="374" t="s">
        <v>202</v>
      </c>
      <c r="B12" s="1059" t="s">
        <v>203</v>
      </c>
      <c r="C12" s="1066" t="s">
        <v>204</v>
      </c>
      <c r="D12" s="940" t="s">
        <v>205</v>
      </c>
      <c r="E12" s="935"/>
      <c r="F12" s="935"/>
      <c r="G12" s="935"/>
      <c r="H12" s="935"/>
      <c r="I12" s="948"/>
      <c r="J12" s="948"/>
      <c r="K12" s="948"/>
      <c r="L12" s="948"/>
      <c r="M12" s="948"/>
      <c r="N12" s="948"/>
      <c r="O12" s="948"/>
      <c r="P12" s="948"/>
      <c r="Q12" s="948"/>
      <c r="R12" s="948"/>
      <c r="S12" s="948"/>
      <c r="T12" s="952"/>
    </row>
    <row r="13" spans="1:20" ht="18" customHeight="1">
      <c r="A13" s="941" t="s">
        <v>206</v>
      </c>
      <c r="B13" s="1060"/>
      <c r="C13" s="1067"/>
      <c r="D13" s="937" t="s">
        <v>207</v>
      </c>
      <c r="E13" s="938"/>
      <c r="F13" s="938"/>
      <c r="G13" s="938"/>
      <c r="H13" s="938"/>
      <c r="I13" s="949"/>
      <c r="J13" s="949"/>
      <c r="K13" s="949"/>
      <c r="L13" s="949"/>
      <c r="M13" s="949"/>
      <c r="N13" s="949"/>
      <c r="O13" s="949"/>
      <c r="P13" s="949"/>
      <c r="Q13" s="949"/>
      <c r="R13" s="949"/>
      <c r="S13" s="949"/>
      <c r="T13" s="954"/>
    </row>
    <row r="14" spans="1:20" ht="18" customHeight="1">
      <c r="A14" s="942" t="s">
        <v>208</v>
      </c>
      <c r="B14" s="1060"/>
      <c r="C14" s="1067"/>
      <c r="D14" s="934" t="s">
        <v>209</v>
      </c>
      <c r="E14" s="935"/>
      <c r="F14" s="935"/>
      <c r="G14" s="935"/>
      <c r="H14" s="935"/>
      <c r="I14" s="948"/>
      <c r="J14" s="948"/>
      <c r="K14" s="948"/>
      <c r="L14" s="948"/>
      <c r="M14" s="948"/>
      <c r="N14" s="948"/>
      <c r="O14" s="948"/>
      <c r="P14" s="948"/>
      <c r="Q14" s="948"/>
      <c r="R14" s="948"/>
      <c r="S14" s="948"/>
      <c r="T14" s="952"/>
    </row>
    <row r="15" spans="1:20" ht="18" customHeight="1">
      <c r="A15" s="941" t="s">
        <v>210</v>
      </c>
      <c r="B15" s="1060"/>
      <c r="C15" s="1068"/>
      <c r="D15" s="937" t="s">
        <v>211</v>
      </c>
      <c r="E15" s="938"/>
      <c r="F15" s="938"/>
      <c r="G15" s="938"/>
      <c r="H15" s="938"/>
      <c r="I15" s="949"/>
      <c r="J15" s="949"/>
      <c r="K15" s="949"/>
      <c r="L15" s="949"/>
      <c r="M15" s="949"/>
      <c r="N15" s="949"/>
      <c r="O15" s="949"/>
      <c r="P15" s="949"/>
      <c r="Q15" s="949"/>
      <c r="R15" s="949"/>
      <c r="S15" s="949"/>
      <c r="T15" s="954"/>
    </row>
    <row r="16" spans="1:20" ht="18" customHeight="1">
      <c r="A16" s="374" t="s">
        <v>212</v>
      </c>
      <c r="B16" s="1060"/>
      <c r="C16" s="1069" t="s">
        <v>213</v>
      </c>
      <c r="D16" s="934" t="s">
        <v>214</v>
      </c>
      <c r="E16" s="935"/>
      <c r="F16" s="935">
        <v>44713</v>
      </c>
      <c r="G16" s="935"/>
      <c r="H16" s="935"/>
      <c r="I16" s="948"/>
      <c r="J16" s="948"/>
      <c r="K16" s="948"/>
      <c r="L16" s="948"/>
      <c r="M16" s="948"/>
      <c r="N16" s="948"/>
      <c r="O16" s="948"/>
      <c r="P16" s="948"/>
      <c r="Q16" s="948"/>
      <c r="R16" s="948"/>
      <c r="S16" s="948"/>
      <c r="T16" s="952"/>
    </row>
    <row r="17" spans="1:20" ht="18" customHeight="1">
      <c r="A17" s="941" t="s">
        <v>215</v>
      </c>
      <c r="B17" s="1060"/>
      <c r="C17" s="1070"/>
      <c r="D17" s="937" t="s">
        <v>216</v>
      </c>
      <c r="E17" s="938"/>
      <c r="F17" s="938"/>
      <c r="G17" s="938"/>
      <c r="H17" s="938"/>
      <c r="I17" s="949"/>
      <c r="J17" s="949"/>
      <c r="K17" s="949"/>
      <c r="L17" s="949"/>
      <c r="M17" s="949"/>
      <c r="N17" s="949"/>
      <c r="O17" s="949"/>
      <c r="P17" s="949"/>
      <c r="Q17" s="949"/>
      <c r="R17" s="949"/>
      <c r="S17" s="949"/>
      <c r="T17" s="954"/>
    </row>
    <row r="18" spans="1:20" ht="18" customHeight="1">
      <c r="A18" s="374" t="s">
        <v>217</v>
      </c>
      <c r="B18" s="1060"/>
      <c r="C18" s="1070"/>
      <c r="D18" s="934" t="s">
        <v>218</v>
      </c>
      <c r="E18" s="935"/>
      <c r="F18" s="935"/>
      <c r="G18" s="935"/>
      <c r="H18" s="935"/>
      <c r="I18" s="948"/>
      <c r="J18" s="948"/>
      <c r="K18" s="948">
        <v>44804</v>
      </c>
      <c r="L18" s="948"/>
      <c r="M18" s="948"/>
      <c r="N18" s="948"/>
      <c r="O18" s="948"/>
      <c r="P18" s="948"/>
      <c r="Q18" s="948"/>
      <c r="R18" s="948"/>
      <c r="S18" s="948"/>
      <c r="T18" s="952"/>
    </row>
    <row r="19" spans="1:20" ht="18" customHeight="1">
      <c r="A19" s="941" t="s">
        <v>219</v>
      </c>
      <c r="B19" s="1060"/>
      <c r="C19" s="1070"/>
      <c r="D19" s="937" t="s">
        <v>220</v>
      </c>
      <c r="E19" s="938"/>
      <c r="F19" s="938"/>
      <c r="G19" s="938"/>
      <c r="H19" s="938"/>
      <c r="I19" s="949"/>
      <c r="J19" s="949"/>
      <c r="K19" s="949"/>
      <c r="L19" s="949"/>
      <c r="M19" s="949"/>
      <c r="N19" s="949"/>
      <c r="O19" s="949"/>
      <c r="P19" s="949"/>
      <c r="Q19" s="949"/>
      <c r="R19" s="949"/>
      <c r="S19" s="949"/>
      <c r="T19" s="954"/>
    </row>
    <row r="20" spans="1:20" ht="18" customHeight="1">
      <c r="A20" s="374" t="s">
        <v>221</v>
      </c>
      <c r="B20" s="1060"/>
      <c r="C20" s="1070"/>
      <c r="D20" s="934" t="s">
        <v>222</v>
      </c>
      <c r="E20" s="935"/>
      <c r="F20" s="935"/>
      <c r="G20" s="935"/>
      <c r="H20" s="935"/>
      <c r="I20" s="948"/>
      <c r="J20" s="948"/>
      <c r="K20" s="948"/>
      <c r="L20" s="948"/>
      <c r="M20" s="948"/>
      <c r="N20" s="948"/>
      <c r="O20" s="948"/>
      <c r="P20" s="948">
        <v>44865</v>
      </c>
      <c r="Q20" s="948"/>
      <c r="R20" s="948"/>
      <c r="S20" s="948"/>
      <c r="T20" s="952"/>
    </row>
    <row r="21" spans="1:20" ht="18" customHeight="1">
      <c r="A21" s="368" t="s">
        <v>223</v>
      </c>
      <c r="B21" s="1060"/>
      <c r="C21" s="1070"/>
      <c r="D21" s="937" t="s">
        <v>224</v>
      </c>
      <c r="E21" s="938"/>
      <c r="F21" s="938"/>
      <c r="G21" s="938"/>
      <c r="H21" s="938"/>
      <c r="I21" s="949"/>
      <c r="J21" s="949"/>
      <c r="K21" s="949"/>
      <c r="L21" s="949"/>
      <c r="M21" s="949"/>
      <c r="N21" s="949"/>
      <c r="O21" s="949"/>
      <c r="P21" s="949"/>
      <c r="Q21" s="949">
        <v>44592</v>
      </c>
      <c r="R21" s="949"/>
      <c r="S21" s="949"/>
      <c r="T21" s="954"/>
    </row>
    <row r="22" spans="1:20" ht="18" customHeight="1">
      <c r="A22" s="374" t="s">
        <v>225</v>
      </c>
      <c r="B22" s="1060"/>
      <c r="C22" s="1070"/>
      <c r="D22" s="934" t="s">
        <v>226</v>
      </c>
      <c r="E22" s="935">
        <v>44562</v>
      </c>
      <c r="F22" s="935"/>
      <c r="G22" s="935"/>
      <c r="H22" s="935"/>
      <c r="I22" s="948"/>
      <c r="J22" s="948"/>
      <c r="K22" s="948"/>
      <c r="L22" s="948"/>
      <c r="M22" s="948"/>
      <c r="N22" s="948"/>
      <c r="O22" s="948"/>
      <c r="P22" s="948"/>
      <c r="Q22" s="948"/>
      <c r="R22" s="948"/>
      <c r="S22" s="948"/>
      <c r="T22" s="952"/>
    </row>
    <row r="23" spans="1:20" ht="18" customHeight="1">
      <c r="A23" s="368" t="s">
        <v>227</v>
      </c>
      <c r="B23" s="1060"/>
      <c r="C23" s="1071"/>
      <c r="D23" s="937" t="s">
        <v>228</v>
      </c>
      <c r="E23" s="938">
        <v>44652</v>
      </c>
      <c r="F23" s="938"/>
      <c r="G23" s="938"/>
      <c r="H23" s="938"/>
      <c r="I23" s="949"/>
      <c r="J23" s="949"/>
      <c r="K23" s="949"/>
      <c r="L23" s="949"/>
      <c r="M23" s="949"/>
      <c r="N23" s="949"/>
      <c r="O23" s="949"/>
      <c r="P23" s="949"/>
      <c r="Q23" s="949"/>
      <c r="R23" s="949"/>
      <c r="S23" s="949"/>
      <c r="T23" s="954"/>
    </row>
    <row r="24" spans="1:20" ht="18" customHeight="1">
      <c r="A24" s="374" t="s">
        <v>229</v>
      </c>
      <c r="B24" s="1060"/>
      <c r="C24" s="1052" t="s">
        <v>230</v>
      </c>
      <c r="D24" s="1053"/>
      <c r="E24" s="935"/>
      <c r="F24" s="935"/>
      <c r="G24" s="935"/>
      <c r="H24" s="935"/>
      <c r="I24" s="948"/>
      <c r="J24" s="948"/>
      <c r="K24" s="948"/>
      <c r="L24" s="948"/>
      <c r="M24" s="948"/>
      <c r="N24" s="948"/>
      <c r="O24" s="948"/>
      <c r="P24" s="948"/>
      <c r="Q24" s="948"/>
      <c r="R24" s="948"/>
      <c r="S24" s="948"/>
      <c r="T24" s="952"/>
    </row>
    <row r="25" spans="1:20" ht="18" customHeight="1">
      <c r="A25" s="368" t="s">
        <v>231</v>
      </c>
      <c r="B25" s="1060"/>
      <c r="C25" s="1069" t="s">
        <v>232</v>
      </c>
      <c r="D25" s="937" t="s">
        <v>233</v>
      </c>
      <c r="E25" s="938"/>
      <c r="F25" s="938"/>
      <c r="G25" s="938">
        <v>44743</v>
      </c>
      <c r="H25" s="938"/>
      <c r="I25" s="949"/>
      <c r="J25" s="949"/>
      <c r="K25" s="949"/>
      <c r="L25" s="949"/>
      <c r="M25" s="949"/>
      <c r="N25" s="949"/>
      <c r="O25" s="949"/>
      <c r="P25" s="949"/>
      <c r="Q25" s="949"/>
      <c r="R25" s="949"/>
      <c r="S25" s="949"/>
      <c r="T25" s="954"/>
    </row>
    <row r="26" spans="1:20" ht="18" customHeight="1">
      <c r="A26" s="374" t="s">
        <v>234</v>
      </c>
      <c r="B26" s="1060"/>
      <c r="C26" s="1071"/>
      <c r="D26" s="934" t="s">
        <v>235</v>
      </c>
      <c r="E26" s="935"/>
      <c r="F26" s="935"/>
      <c r="G26" s="935"/>
      <c r="H26" s="935"/>
      <c r="I26" s="948"/>
      <c r="J26" s="948"/>
      <c r="K26" s="948"/>
      <c r="L26" s="948"/>
      <c r="M26" s="948"/>
      <c r="N26" s="948"/>
      <c r="O26" s="948"/>
      <c r="P26" s="948"/>
      <c r="Q26" s="948"/>
      <c r="R26" s="948"/>
      <c r="S26" s="948"/>
      <c r="T26" s="952">
        <v>44926</v>
      </c>
    </row>
    <row r="27" spans="1:20" ht="18" customHeight="1">
      <c r="A27" s="943" t="s">
        <v>236</v>
      </c>
      <c r="B27" s="1061"/>
      <c r="C27" s="1054" t="s">
        <v>237</v>
      </c>
      <c r="D27" s="1055"/>
      <c r="E27" s="944"/>
      <c r="F27" s="944"/>
      <c r="G27" s="944"/>
      <c r="H27" s="944"/>
      <c r="I27" s="950"/>
      <c r="J27" s="950"/>
      <c r="K27" s="950"/>
      <c r="L27" s="950"/>
      <c r="M27" s="950"/>
      <c r="N27" s="950"/>
      <c r="O27" s="950"/>
      <c r="P27" s="950"/>
      <c r="Q27" s="950"/>
      <c r="R27" s="950"/>
      <c r="S27" s="950"/>
      <c r="T27" s="955"/>
    </row>
  </sheetData>
  <mergeCells count="17">
    <mergeCell ref="I3:L3"/>
    <mergeCell ref="M3:P3"/>
    <mergeCell ref="Q3:T3"/>
    <mergeCell ref="B5:C5"/>
    <mergeCell ref="B1:H2"/>
    <mergeCell ref="B3:D4"/>
    <mergeCell ref="E3:H3"/>
    <mergeCell ref="C24:D24"/>
    <mergeCell ref="C27:D27"/>
    <mergeCell ref="B6:B11"/>
    <mergeCell ref="B12:B27"/>
    <mergeCell ref="C6:C7"/>
    <mergeCell ref="C8:C9"/>
    <mergeCell ref="C10:C11"/>
    <mergeCell ref="C12:C15"/>
    <mergeCell ref="C16:C23"/>
    <mergeCell ref="C25:C26"/>
  </mergeCells>
  <phoneticPr fontId="43" type="noConversion"/>
  <pageMargins left="0.7" right="0.7" top="0.75" bottom="0.75" header="0.3" footer="0.3"/>
  <pageSetup paperSize="8" orientation="landscape"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topLeftCell="C1" workbookViewId="0">
      <selection activeCell="I5" sqref="I5:L5"/>
    </sheetView>
  </sheetViews>
  <sheetFormatPr defaultColWidth="9" defaultRowHeight="13.5"/>
  <cols>
    <col min="1" max="1" width="16.875" style="920" customWidth="1"/>
    <col min="2" max="3" width="15.625" style="920" customWidth="1"/>
    <col min="4" max="6" width="17.625" style="920" customWidth="1"/>
    <col min="7" max="7" width="14.125" style="920" customWidth="1"/>
    <col min="8" max="8" width="14.5" style="920" customWidth="1"/>
    <col min="9" max="9" width="18.875" style="920" customWidth="1"/>
    <col min="10" max="10" width="17.875" style="920" customWidth="1"/>
    <col min="11" max="11" width="12" style="920" customWidth="1"/>
    <col min="12" max="12" width="11.875" style="920" customWidth="1"/>
    <col min="13" max="16384" width="9" style="920"/>
  </cols>
  <sheetData>
    <row r="1" spans="1:12" ht="39" customHeight="1">
      <c r="A1" s="1089" t="s">
        <v>238</v>
      </c>
      <c r="B1" s="1089"/>
      <c r="C1" s="1089"/>
      <c r="D1" s="1089"/>
      <c r="E1" s="1089"/>
      <c r="F1" s="1089"/>
      <c r="G1" s="1089"/>
      <c r="H1" s="1089"/>
      <c r="I1" s="1089"/>
      <c r="J1" s="1089"/>
      <c r="K1" s="1089"/>
      <c r="L1" s="1089"/>
    </row>
    <row r="2" spans="1:12" ht="39" customHeight="1">
      <c r="A2" s="921" t="s">
        <v>239</v>
      </c>
      <c r="B2" s="922" t="s">
        <v>240</v>
      </c>
      <c r="C2" s="921" t="s">
        <v>241</v>
      </c>
      <c r="D2" s="921" t="s">
        <v>240</v>
      </c>
      <c r="E2" s="921" t="s">
        <v>242</v>
      </c>
      <c r="F2" s="922" t="s">
        <v>240</v>
      </c>
      <c r="G2" s="1090" t="s">
        <v>243</v>
      </c>
      <c r="H2" s="1091"/>
      <c r="I2" s="1091"/>
      <c r="J2" s="1091"/>
      <c r="K2" s="1091"/>
      <c r="L2" s="1092"/>
    </row>
    <row r="3" spans="1:12" ht="39.75" customHeight="1">
      <c r="A3" s="1085" t="s">
        <v>244</v>
      </c>
      <c r="B3" s="1085" t="s">
        <v>245</v>
      </c>
      <c r="C3" s="1085" t="s">
        <v>246</v>
      </c>
      <c r="D3" s="1086" t="s">
        <v>247</v>
      </c>
      <c r="E3" s="1085" t="s">
        <v>248</v>
      </c>
      <c r="F3" s="1087" t="s">
        <v>249</v>
      </c>
      <c r="G3" s="1086" t="s">
        <v>250</v>
      </c>
      <c r="H3" s="1086"/>
      <c r="I3" s="923" t="s">
        <v>251</v>
      </c>
      <c r="J3" s="923" t="s">
        <v>252</v>
      </c>
      <c r="K3" s="1086" t="s">
        <v>253</v>
      </c>
      <c r="L3" s="1086" t="s">
        <v>254</v>
      </c>
    </row>
    <row r="4" spans="1:12" ht="26.25" customHeight="1">
      <c r="A4" s="1085"/>
      <c r="B4" s="1085"/>
      <c r="C4" s="1085"/>
      <c r="D4" s="1086"/>
      <c r="E4" s="1085"/>
      <c r="F4" s="1088"/>
      <c r="G4" s="923" t="s">
        <v>255</v>
      </c>
      <c r="H4" s="923" t="s">
        <v>256</v>
      </c>
      <c r="I4" s="923" t="s">
        <v>255</v>
      </c>
      <c r="J4" s="923" t="s">
        <v>255</v>
      </c>
      <c r="K4" s="1086"/>
      <c r="L4" s="1086"/>
    </row>
    <row r="5" spans="1:12" ht="67.5">
      <c r="A5" s="553" t="s">
        <v>257</v>
      </c>
      <c r="B5" s="553"/>
      <c r="C5" s="553"/>
      <c r="D5" s="924" t="s">
        <v>258</v>
      </c>
      <c r="E5" s="924" t="s">
        <v>259</v>
      </c>
      <c r="F5" s="924"/>
      <c r="G5" s="1093" t="s">
        <v>260</v>
      </c>
      <c r="H5" s="1093"/>
      <c r="I5" s="1094" t="s">
        <v>261</v>
      </c>
      <c r="J5" s="1093"/>
      <c r="K5" s="1093"/>
      <c r="L5" s="1093"/>
    </row>
    <row r="6" spans="1:12" ht="33" customHeight="1">
      <c r="A6" s="925" t="s">
        <v>262</v>
      </c>
      <c r="B6" s="926" t="s">
        <v>263</v>
      </c>
      <c r="C6" s="926" t="s">
        <v>263</v>
      </c>
      <c r="D6" s="926" t="s">
        <v>263</v>
      </c>
      <c r="E6" s="926" t="s">
        <v>263</v>
      </c>
      <c r="F6" s="926" t="s">
        <v>263</v>
      </c>
      <c r="G6" s="927"/>
      <c r="H6" s="927"/>
      <c r="I6" s="929"/>
      <c r="J6" s="927"/>
      <c r="K6" s="927"/>
      <c r="L6" s="927"/>
    </row>
    <row r="7" spans="1:12" ht="33" customHeight="1">
      <c r="A7" s="925" t="s">
        <v>264</v>
      </c>
      <c r="B7" s="926" t="s">
        <v>263</v>
      </c>
      <c r="C7" s="926" t="s">
        <v>263</v>
      </c>
      <c r="D7" s="926" t="s">
        <v>263</v>
      </c>
      <c r="E7" s="926" t="s">
        <v>263</v>
      </c>
      <c r="F7" s="926" t="s">
        <v>263</v>
      </c>
      <c r="G7" s="927"/>
      <c r="H7" s="927"/>
      <c r="I7" s="929"/>
      <c r="J7" s="927"/>
      <c r="K7" s="927"/>
      <c r="L7" s="927"/>
    </row>
    <row r="8" spans="1:12" ht="33" customHeight="1">
      <c r="A8" s="553" t="s">
        <v>265</v>
      </c>
      <c r="B8" s="927"/>
      <c r="C8" s="927"/>
      <c r="D8" s="926"/>
      <c r="E8" s="927"/>
      <c r="F8" s="927"/>
      <c r="G8" s="1084"/>
      <c r="H8" s="1084"/>
      <c r="I8" s="926" t="s">
        <v>263</v>
      </c>
      <c r="J8" s="926" t="s">
        <v>263</v>
      </c>
      <c r="K8" s="926" t="s">
        <v>263</v>
      </c>
      <c r="L8" s="926" t="s">
        <v>263</v>
      </c>
    </row>
    <row r="9" spans="1:12" ht="33" customHeight="1">
      <c r="A9" s="923" t="s">
        <v>266</v>
      </c>
      <c r="B9" s="927"/>
      <c r="C9" s="927"/>
      <c r="D9" s="926"/>
      <c r="E9" s="927"/>
      <c r="F9" s="927"/>
      <c r="G9" s="1084"/>
      <c r="H9" s="1084"/>
      <c r="I9" s="927"/>
      <c r="J9" s="926"/>
      <c r="K9" s="926" t="s">
        <v>263</v>
      </c>
      <c r="L9" s="926" t="s">
        <v>263</v>
      </c>
    </row>
    <row r="10" spans="1:12" ht="33" customHeight="1">
      <c r="A10" s="553" t="s">
        <v>267</v>
      </c>
      <c r="B10" s="928"/>
      <c r="C10" s="928"/>
      <c r="D10" s="926"/>
      <c r="E10" s="928"/>
      <c r="F10" s="928"/>
      <c r="G10" s="1084"/>
      <c r="H10" s="1084"/>
      <c r="I10" s="927"/>
      <c r="J10" s="926"/>
      <c r="K10" s="926" t="s">
        <v>263</v>
      </c>
      <c r="L10" s="926" t="s">
        <v>263</v>
      </c>
    </row>
  </sheetData>
  <mergeCells count="16">
    <mergeCell ref="A1:L1"/>
    <mergeCell ref="G2:L2"/>
    <mergeCell ref="G3:H3"/>
    <mergeCell ref="G5:H5"/>
    <mergeCell ref="I5:L5"/>
    <mergeCell ref="K3:K4"/>
    <mergeCell ref="L3:L4"/>
    <mergeCell ref="G8:H8"/>
    <mergeCell ref="G9:H9"/>
    <mergeCell ref="G10:H10"/>
    <mergeCell ref="A3:A4"/>
    <mergeCell ref="B3:B4"/>
    <mergeCell ref="C3:C4"/>
    <mergeCell ref="D3:D4"/>
    <mergeCell ref="E3:E4"/>
    <mergeCell ref="F3:F4"/>
  </mergeCells>
  <phoneticPr fontId="43" type="noConversion"/>
  <pageMargins left="0.7" right="0.7" top="0.75" bottom="0.75" header="0.3" footer="0.3"/>
  <pageSetup paperSize="9" orientation="portrait" verticalDpi="12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8"/>
  <sheetViews>
    <sheetView showGridLines="0" topLeftCell="B1" zoomScale="115" zoomScaleNormal="115" workbookViewId="0">
      <pane xSplit="4" ySplit="4" topLeftCell="F86" activePane="bottomRight" state="frozen"/>
      <selection pane="topRight"/>
      <selection pane="bottomLeft"/>
      <selection pane="bottomRight" activeCell="L94" sqref="L94"/>
    </sheetView>
  </sheetViews>
  <sheetFormatPr defaultColWidth="9" defaultRowHeight="13.5"/>
  <cols>
    <col min="1" max="1" width="9" hidden="1" customWidth="1"/>
    <col min="2" max="2" width="8.375" customWidth="1"/>
    <col min="3" max="3" width="9.375" customWidth="1"/>
    <col min="5" max="5" width="16.875" customWidth="1"/>
    <col min="6" max="6" width="18.625" customWidth="1"/>
    <col min="7" max="7" width="18.625" hidden="1" customWidth="1"/>
    <col min="8" max="9" width="16.625" hidden="1" customWidth="1"/>
    <col min="10" max="23" width="16.625" customWidth="1"/>
  </cols>
  <sheetData>
    <row r="1" spans="1:23" ht="28.15" customHeight="1">
      <c r="A1" s="1"/>
      <c r="B1" s="1076" t="s">
        <v>268</v>
      </c>
      <c r="C1" s="1095"/>
      <c r="D1" s="1095"/>
      <c r="E1" s="1095"/>
      <c r="F1" s="1095"/>
      <c r="G1" s="1095"/>
      <c r="H1" s="1095"/>
      <c r="I1" s="1095"/>
      <c r="J1" s="1095"/>
      <c r="K1" s="1095"/>
    </row>
    <row r="2" spans="1:23" ht="28.15" customHeight="1">
      <c r="A2" s="1"/>
      <c r="B2" s="1096"/>
      <c r="C2" s="1096"/>
      <c r="D2" s="1096"/>
      <c r="E2" s="1096"/>
      <c r="F2" s="1096"/>
      <c r="G2" s="1096"/>
      <c r="H2" s="1096"/>
      <c r="I2" s="1096"/>
      <c r="J2" s="1096"/>
      <c r="K2" s="1096"/>
      <c r="L2" s="818">
        <f>成本构成!H97</f>
        <v>4.0065300846911907E-2</v>
      </c>
      <c r="M2" s="819" t="s">
        <v>269</v>
      </c>
      <c r="R2" s="819" t="s">
        <v>270</v>
      </c>
    </row>
    <row r="3" spans="1:23">
      <c r="A3" s="782"/>
      <c r="B3" s="1105" t="s">
        <v>271</v>
      </c>
      <c r="C3" s="1105" t="s">
        <v>135</v>
      </c>
      <c r="D3" s="1105" t="s">
        <v>272</v>
      </c>
      <c r="E3" s="1104"/>
      <c r="F3" s="1103" t="s">
        <v>273</v>
      </c>
      <c r="G3" s="1103" t="s">
        <v>274</v>
      </c>
      <c r="H3" s="1108" t="s">
        <v>180</v>
      </c>
      <c r="I3" s="1108"/>
      <c r="J3" s="1108"/>
      <c r="K3" s="1108"/>
      <c r="L3" s="1156" t="s">
        <v>181</v>
      </c>
      <c r="M3" s="1156"/>
      <c r="N3" s="1156"/>
      <c r="O3" s="1156"/>
      <c r="P3" s="1156" t="s">
        <v>182</v>
      </c>
      <c r="Q3" s="1156"/>
      <c r="R3" s="1156"/>
      <c r="S3" s="1156"/>
      <c r="T3" s="1157" t="s">
        <v>183</v>
      </c>
      <c r="U3" s="1072"/>
      <c r="V3" s="1072"/>
      <c r="W3" s="1073"/>
    </row>
    <row r="4" spans="1:23">
      <c r="A4" s="784"/>
      <c r="B4" s="1104"/>
      <c r="C4" s="1104"/>
      <c r="D4" s="1104"/>
      <c r="E4" s="1104"/>
      <c r="F4" s="1104"/>
      <c r="G4" s="1159"/>
      <c r="H4" s="783" t="s">
        <v>184</v>
      </c>
      <c r="I4" s="783" t="s">
        <v>185</v>
      </c>
      <c r="J4" s="783" t="s">
        <v>186</v>
      </c>
      <c r="K4" s="783" t="s">
        <v>187</v>
      </c>
      <c r="L4" s="820" t="s">
        <v>184</v>
      </c>
      <c r="M4" s="820" t="s">
        <v>185</v>
      </c>
      <c r="N4" s="820" t="s">
        <v>186</v>
      </c>
      <c r="O4" s="820" t="s">
        <v>187</v>
      </c>
      <c r="P4" s="820" t="s">
        <v>184</v>
      </c>
      <c r="Q4" s="820" t="s">
        <v>185</v>
      </c>
      <c r="R4" s="820" t="s">
        <v>186</v>
      </c>
      <c r="S4" s="820" t="s">
        <v>187</v>
      </c>
      <c r="T4" s="825" t="s">
        <v>184</v>
      </c>
      <c r="U4" s="826" t="s">
        <v>185</v>
      </c>
      <c r="V4" s="826" t="s">
        <v>186</v>
      </c>
      <c r="W4" s="827" t="s">
        <v>187</v>
      </c>
    </row>
    <row r="5" spans="1:23" ht="18" customHeight="1">
      <c r="A5" s="785" t="s">
        <v>275</v>
      </c>
      <c r="B5" s="786" t="s">
        <v>276</v>
      </c>
      <c r="C5" s="1158" t="s">
        <v>277</v>
      </c>
      <c r="D5" s="1158"/>
      <c r="E5" s="1158"/>
      <c r="F5" s="787"/>
      <c r="G5" s="787"/>
      <c r="H5" s="788"/>
      <c r="I5" s="788"/>
      <c r="J5" s="788"/>
      <c r="K5" s="788"/>
      <c r="L5" s="821"/>
      <c r="M5" s="821"/>
      <c r="N5" s="821"/>
      <c r="O5" s="821"/>
      <c r="P5" s="821"/>
      <c r="Q5" s="821"/>
      <c r="R5" s="821"/>
      <c r="S5" s="821"/>
      <c r="T5" s="828"/>
      <c r="U5" s="829"/>
      <c r="V5" s="829"/>
      <c r="W5" s="830"/>
    </row>
    <row r="6" spans="1:23" ht="18" customHeight="1">
      <c r="A6" s="789" t="s">
        <v>278</v>
      </c>
      <c r="B6" s="1141" t="s">
        <v>53</v>
      </c>
      <c r="C6" s="1115" t="s">
        <v>130</v>
      </c>
      <c r="D6" s="1099" t="s">
        <v>197</v>
      </c>
      <c r="E6" s="790" t="s">
        <v>279</v>
      </c>
      <c r="F6" s="749">
        <f>IFERROR(规划指标!E30,0)</f>
        <v>16848</v>
      </c>
      <c r="G6" s="749"/>
      <c r="H6" s="791">
        <f t="shared" ref="H6:W6" si="0">IFERROR($F6*H8,0)</f>
        <v>0</v>
      </c>
      <c r="I6" s="791">
        <f t="shared" si="0"/>
        <v>0</v>
      </c>
      <c r="J6" s="791">
        <f t="shared" si="0"/>
        <v>2021.76</v>
      </c>
      <c r="K6" s="791">
        <f t="shared" si="0"/>
        <v>1684.8000000000002</v>
      </c>
      <c r="L6" s="791">
        <f t="shared" si="0"/>
        <v>2190.2400000000002</v>
      </c>
      <c r="M6" s="791">
        <f t="shared" si="0"/>
        <v>1684.8000000000002</v>
      </c>
      <c r="N6" s="791">
        <f t="shared" si="0"/>
        <v>1684.8000000000002</v>
      </c>
      <c r="O6" s="791">
        <f t="shared" si="0"/>
        <v>1684.8000000000002</v>
      </c>
      <c r="P6" s="791">
        <f t="shared" si="0"/>
        <v>2190.2400000000002</v>
      </c>
      <c r="Q6" s="791">
        <f t="shared" si="0"/>
        <v>1347.84</v>
      </c>
      <c r="R6" s="791">
        <f t="shared" si="0"/>
        <v>842.40000000000009</v>
      </c>
      <c r="S6" s="791">
        <f t="shared" si="0"/>
        <v>673.92</v>
      </c>
      <c r="T6" s="831">
        <f t="shared" si="0"/>
        <v>505.44</v>
      </c>
      <c r="U6" s="831">
        <f t="shared" si="0"/>
        <v>336.96</v>
      </c>
      <c r="V6" s="831">
        <f t="shared" si="0"/>
        <v>0</v>
      </c>
      <c r="W6" s="831">
        <f t="shared" si="0"/>
        <v>0</v>
      </c>
    </row>
    <row r="7" spans="1:23" ht="18" customHeight="1">
      <c r="A7" s="792" t="s">
        <v>280</v>
      </c>
      <c r="B7" s="1141"/>
      <c r="C7" s="1115"/>
      <c r="D7" s="1107"/>
      <c r="E7" s="793" t="s">
        <v>281</v>
      </c>
      <c r="F7" s="794">
        <f>IFERROR(F11*10000/(F6*F8),0)</f>
        <v>45000</v>
      </c>
      <c r="G7" s="749" t="e">
        <f>#REF!+#REF!+#REF!+#REF!</f>
        <v>#REF!</v>
      </c>
      <c r="H7" s="795"/>
      <c r="I7" s="795">
        <f t="shared" ref="I7:W7" si="1">I15</f>
        <v>45000</v>
      </c>
      <c r="J7" s="795">
        <f t="shared" si="1"/>
        <v>45000</v>
      </c>
      <c r="K7" s="795">
        <f t="shared" si="1"/>
        <v>45000</v>
      </c>
      <c r="L7" s="795">
        <f t="shared" si="1"/>
        <v>45000</v>
      </c>
      <c r="M7" s="795">
        <f t="shared" si="1"/>
        <v>45000</v>
      </c>
      <c r="N7" s="795">
        <f t="shared" si="1"/>
        <v>45000</v>
      </c>
      <c r="O7" s="795">
        <f t="shared" si="1"/>
        <v>45000</v>
      </c>
      <c r="P7" s="795">
        <f t="shared" si="1"/>
        <v>45000</v>
      </c>
      <c r="Q7" s="795">
        <f t="shared" si="1"/>
        <v>45000</v>
      </c>
      <c r="R7" s="795">
        <f t="shared" si="1"/>
        <v>45000</v>
      </c>
      <c r="S7" s="795">
        <f t="shared" si="1"/>
        <v>45000</v>
      </c>
      <c r="T7" s="832">
        <f t="shared" si="1"/>
        <v>45000</v>
      </c>
      <c r="U7" s="795">
        <f t="shared" si="1"/>
        <v>45000</v>
      </c>
      <c r="V7" s="795">
        <f t="shared" si="1"/>
        <v>45000</v>
      </c>
      <c r="W7" s="795">
        <f t="shared" si="1"/>
        <v>45000</v>
      </c>
    </row>
    <row r="8" spans="1:23" ht="18" customHeight="1">
      <c r="A8" s="792" t="s">
        <v>282</v>
      </c>
      <c r="B8" s="1141"/>
      <c r="C8" s="1115"/>
      <c r="D8" s="1107"/>
      <c r="E8" s="790" t="s">
        <v>283</v>
      </c>
      <c r="F8" s="796">
        <f>IFERROR(SUM(H8:W8),0)</f>
        <v>1</v>
      </c>
      <c r="G8" s="797"/>
      <c r="H8" s="798"/>
      <c r="I8" s="798"/>
      <c r="J8" s="798">
        <v>0.12</v>
      </c>
      <c r="K8" s="798">
        <v>0.1</v>
      </c>
      <c r="L8" s="822">
        <v>0.13</v>
      </c>
      <c r="M8" s="822">
        <v>0.1</v>
      </c>
      <c r="N8" s="822">
        <v>0.1</v>
      </c>
      <c r="O8" s="822">
        <v>0.1</v>
      </c>
      <c r="P8" s="822">
        <v>0.13</v>
      </c>
      <c r="Q8" s="822">
        <v>0.08</v>
      </c>
      <c r="R8" s="822">
        <v>0.05</v>
      </c>
      <c r="S8" s="822">
        <v>0.04</v>
      </c>
      <c r="T8" s="833">
        <v>0.03</v>
      </c>
      <c r="U8" s="822">
        <v>0.02</v>
      </c>
      <c r="V8" s="822"/>
      <c r="W8" s="834"/>
    </row>
    <row r="9" spans="1:23" ht="18" customHeight="1">
      <c r="A9" s="799" t="s">
        <v>284</v>
      </c>
      <c r="B9" s="1141"/>
      <c r="C9" s="1115"/>
      <c r="D9" s="1107"/>
      <c r="E9" s="793" t="s">
        <v>285</v>
      </c>
      <c r="F9" s="800">
        <f>IFERROR(SUM(H9:W9),0)</f>
        <v>75816</v>
      </c>
      <c r="G9" s="800">
        <f>IFERROR(F9/(1+增值税适用税率),0)</f>
        <v>69555.963302752294</v>
      </c>
      <c r="H9" s="801">
        <f t="shared" ref="H9:W9" si="2">IFERROR(H7*H6/10000,0)</f>
        <v>0</v>
      </c>
      <c r="I9" s="801">
        <f t="shared" si="2"/>
        <v>0</v>
      </c>
      <c r="J9" s="801">
        <f t="shared" si="2"/>
        <v>9097.92</v>
      </c>
      <c r="K9" s="801">
        <f t="shared" si="2"/>
        <v>7581.6000000000013</v>
      </c>
      <c r="L9" s="801">
        <f t="shared" si="2"/>
        <v>9856.0800000000017</v>
      </c>
      <c r="M9" s="801">
        <f t="shared" si="2"/>
        <v>7581.6000000000013</v>
      </c>
      <c r="N9" s="801">
        <f t="shared" si="2"/>
        <v>7581.6000000000013</v>
      </c>
      <c r="O9" s="801">
        <f t="shared" si="2"/>
        <v>7581.6000000000013</v>
      </c>
      <c r="P9" s="801">
        <f t="shared" si="2"/>
        <v>9856.0800000000017</v>
      </c>
      <c r="Q9" s="801">
        <f t="shared" si="2"/>
        <v>6065.28</v>
      </c>
      <c r="R9" s="801">
        <f t="shared" si="2"/>
        <v>3790.8000000000006</v>
      </c>
      <c r="S9" s="801">
        <f t="shared" si="2"/>
        <v>3032.64</v>
      </c>
      <c r="T9" s="835">
        <f t="shared" si="2"/>
        <v>2274.48</v>
      </c>
      <c r="U9" s="835">
        <f t="shared" si="2"/>
        <v>1516.32</v>
      </c>
      <c r="V9" s="835">
        <f t="shared" si="2"/>
        <v>0</v>
      </c>
      <c r="W9" s="835">
        <f t="shared" si="2"/>
        <v>0</v>
      </c>
    </row>
    <row r="10" spans="1:23" ht="18" customHeight="1">
      <c r="A10" s="789" t="s">
        <v>286</v>
      </c>
      <c r="B10" s="1141"/>
      <c r="C10" s="1115"/>
      <c r="D10" s="1107"/>
      <c r="E10" s="790" t="s">
        <v>287</v>
      </c>
      <c r="F10" s="802">
        <f>IFERROR(F11/F9,0)</f>
        <v>1</v>
      </c>
      <c r="G10" s="802"/>
      <c r="H10" s="803">
        <v>0.4</v>
      </c>
      <c r="I10" s="803">
        <f>IFERROR(H10,0)</f>
        <v>0.4</v>
      </c>
      <c r="J10" s="803">
        <f>IFERROR(I10,0)</f>
        <v>0.4</v>
      </c>
      <c r="K10" s="803">
        <f>IFERROR(J10,0)</f>
        <v>0.4</v>
      </c>
      <c r="L10" s="803">
        <f>IFERROR(K10,0)</f>
        <v>0.4</v>
      </c>
      <c r="M10" s="803">
        <v>1</v>
      </c>
      <c r="N10" s="803">
        <v>1</v>
      </c>
      <c r="O10" s="803">
        <v>1</v>
      </c>
      <c r="P10" s="803">
        <f t="shared" ref="P10:W10" si="3">IFERROR(O10,0)</f>
        <v>1</v>
      </c>
      <c r="Q10" s="803">
        <f t="shared" si="3"/>
        <v>1</v>
      </c>
      <c r="R10" s="803">
        <f t="shared" si="3"/>
        <v>1</v>
      </c>
      <c r="S10" s="803">
        <f t="shared" si="3"/>
        <v>1</v>
      </c>
      <c r="T10" s="836">
        <f t="shared" si="3"/>
        <v>1</v>
      </c>
      <c r="U10" s="836">
        <f t="shared" si="3"/>
        <v>1</v>
      </c>
      <c r="V10" s="836">
        <f t="shared" si="3"/>
        <v>1</v>
      </c>
      <c r="W10" s="836">
        <f t="shared" si="3"/>
        <v>1</v>
      </c>
    </row>
    <row r="11" spans="1:23" ht="18" customHeight="1">
      <c r="A11" s="799" t="s">
        <v>288</v>
      </c>
      <c r="B11" s="1141"/>
      <c r="C11" s="1115"/>
      <c r="D11" s="1107"/>
      <c r="E11" s="793" t="s">
        <v>289</v>
      </c>
      <c r="F11" s="800">
        <f>IFERROR(SUM(H11:W11),0)</f>
        <v>75816</v>
      </c>
      <c r="G11" s="800">
        <f>IFERROR(F11/(1+增值税适用税率),0)</f>
        <v>69555.963302752294</v>
      </c>
      <c r="H11" s="801">
        <f t="shared" ref="H11:L11" si="4">IFERROR(H9*H10,0)</f>
        <v>0</v>
      </c>
      <c r="I11" s="801">
        <f t="shared" si="4"/>
        <v>0</v>
      </c>
      <c r="J11" s="801">
        <f t="shared" si="4"/>
        <v>3639.1680000000001</v>
      </c>
      <c r="K11" s="801">
        <f t="shared" si="4"/>
        <v>3032.6400000000008</v>
      </c>
      <c r="L11" s="801">
        <f t="shared" si="4"/>
        <v>3942.4320000000007</v>
      </c>
      <c r="M11" s="801">
        <f>SUM(J9:L9)*0.6+M9*M10</f>
        <v>23502.960000000003</v>
      </c>
      <c r="N11" s="801">
        <f>IFERROR(N9*N10,0)</f>
        <v>7581.6000000000013</v>
      </c>
      <c r="O11" s="801">
        <f t="shared" ref="O11:W11" si="5">IFERROR(O9*O10,0)</f>
        <v>7581.6000000000013</v>
      </c>
      <c r="P11" s="801">
        <f t="shared" si="5"/>
        <v>9856.0800000000017</v>
      </c>
      <c r="Q11" s="801">
        <f t="shared" si="5"/>
        <v>6065.28</v>
      </c>
      <c r="R11" s="801">
        <f t="shared" si="5"/>
        <v>3790.8000000000006</v>
      </c>
      <c r="S11" s="801">
        <f t="shared" si="5"/>
        <v>3032.64</v>
      </c>
      <c r="T11" s="835">
        <f t="shared" si="5"/>
        <v>2274.48</v>
      </c>
      <c r="U11" s="835">
        <f t="shared" si="5"/>
        <v>1516.32</v>
      </c>
      <c r="V11" s="835">
        <f t="shared" si="5"/>
        <v>0</v>
      </c>
      <c r="W11" s="835">
        <f t="shared" si="5"/>
        <v>0</v>
      </c>
    </row>
    <row r="12" spans="1:23" ht="18" customHeight="1">
      <c r="A12" s="789" t="s">
        <v>290</v>
      </c>
      <c r="B12" s="1141"/>
      <c r="C12" s="1115"/>
      <c r="D12" s="1107"/>
      <c r="E12" s="790" t="s">
        <v>291</v>
      </c>
      <c r="F12" s="802">
        <v>2.3E-2</v>
      </c>
      <c r="G12" s="802"/>
      <c r="H12" s="803"/>
      <c r="I12" s="803"/>
      <c r="J12" s="803"/>
      <c r="K12" s="803"/>
      <c r="L12" s="823"/>
      <c r="M12" s="823"/>
      <c r="N12" s="823"/>
      <c r="O12" s="823"/>
      <c r="P12" s="823"/>
      <c r="Q12" s="823"/>
      <c r="R12" s="823"/>
      <c r="S12" s="823"/>
      <c r="T12" s="837"/>
      <c r="U12" s="823"/>
      <c r="V12" s="823"/>
      <c r="W12" s="838"/>
    </row>
    <row r="13" spans="1:23" ht="18" customHeight="1">
      <c r="A13" s="799" t="s">
        <v>292</v>
      </c>
      <c r="B13" s="1141"/>
      <c r="C13" s="1115"/>
      <c r="D13" s="1107"/>
      <c r="E13" s="793" t="s">
        <v>293</v>
      </c>
      <c r="F13" s="800">
        <f>IFERROR(F11*F12,0)</f>
        <v>1743.768</v>
      </c>
      <c r="G13" s="800"/>
      <c r="H13" s="801">
        <f t="shared" ref="H13:W13" si="6">IFERROR(H11*$F12,0)</f>
        <v>0</v>
      </c>
      <c r="I13" s="801">
        <f t="shared" si="6"/>
        <v>0</v>
      </c>
      <c r="J13" s="801">
        <f t="shared" si="6"/>
        <v>83.700863999999996</v>
      </c>
      <c r="K13" s="801">
        <f t="shared" si="6"/>
        <v>69.750720000000015</v>
      </c>
      <c r="L13" s="801">
        <f t="shared" si="6"/>
        <v>90.675936000000021</v>
      </c>
      <c r="M13" s="801">
        <f t="shared" si="6"/>
        <v>540.56808000000001</v>
      </c>
      <c r="N13" s="801">
        <f t="shared" si="6"/>
        <v>174.37680000000003</v>
      </c>
      <c r="O13" s="801">
        <f t="shared" si="6"/>
        <v>174.37680000000003</v>
      </c>
      <c r="P13" s="801">
        <f t="shared" si="6"/>
        <v>226.68984000000003</v>
      </c>
      <c r="Q13" s="801">
        <f t="shared" si="6"/>
        <v>139.50144</v>
      </c>
      <c r="R13" s="801">
        <f t="shared" si="6"/>
        <v>87.188400000000016</v>
      </c>
      <c r="S13" s="801">
        <f t="shared" si="6"/>
        <v>69.750720000000001</v>
      </c>
      <c r="T13" s="835">
        <f t="shared" si="6"/>
        <v>52.313040000000001</v>
      </c>
      <c r="U13" s="835">
        <f t="shared" si="6"/>
        <v>34.875360000000001</v>
      </c>
      <c r="V13" s="835">
        <f t="shared" si="6"/>
        <v>0</v>
      </c>
      <c r="W13" s="835">
        <f t="shared" si="6"/>
        <v>0</v>
      </c>
    </row>
    <row r="14" spans="1:23" ht="18" customHeight="1">
      <c r="A14" s="789" t="s">
        <v>294</v>
      </c>
      <c r="B14" s="1141"/>
      <c r="C14" s="1115"/>
      <c r="D14" s="1097" t="s">
        <v>200</v>
      </c>
      <c r="E14" s="790" t="s">
        <v>279</v>
      </c>
      <c r="F14" s="749">
        <f>IFERROR(规划指标!E31,0)</f>
        <v>88765.436000000002</v>
      </c>
      <c r="G14" s="749"/>
      <c r="H14" s="791">
        <f t="shared" ref="H14:W14" si="7">IFERROR($F14*H16,0)</f>
        <v>0</v>
      </c>
      <c r="I14" s="791">
        <f t="shared" si="7"/>
        <v>0</v>
      </c>
      <c r="J14" s="791">
        <f t="shared" si="7"/>
        <v>10651.85232</v>
      </c>
      <c r="K14" s="791">
        <f t="shared" si="7"/>
        <v>8876.5436000000009</v>
      </c>
      <c r="L14" s="791">
        <f t="shared" si="7"/>
        <v>11539.50668</v>
      </c>
      <c r="M14" s="791">
        <f t="shared" si="7"/>
        <v>8876.5436000000009</v>
      </c>
      <c r="N14" s="791">
        <f t="shared" si="7"/>
        <v>8876.5436000000009</v>
      </c>
      <c r="O14" s="791">
        <f t="shared" si="7"/>
        <v>8876.5436000000009</v>
      </c>
      <c r="P14" s="791">
        <f t="shared" si="7"/>
        <v>11539.50668</v>
      </c>
      <c r="Q14" s="791">
        <f t="shared" si="7"/>
        <v>7101.23488</v>
      </c>
      <c r="R14" s="791">
        <f t="shared" si="7"/>
        <v>4438.2718000000004</v>
      </c>
      <c r="S14" s="791">
        <f t="shared" si="7"/>
        <v>3550.61744</v>
      </c>
      <c r="T14" s="831">
        <f t="shared" si="7"/>
        <v>2662.96308</v>
      </c>
      <c r="U14" s="831">
        <f t="shared" si="7"/>
        <v>1775.30872</v>
      </c>
      <c r="V14" s="831">
        <f t="shared" si="7"/>
        <v>0</v>
      </c>
      <c r="W14" s="831">
        <f t="shared" si="7"/>
        <v>0</v>
      </c>
    </row>
    <row r="15" spans="1:23" ht="18" customHeight="1">
      <c r="A15" s="792" t="s">
        <v>295</v>
      </c>
      <c r="B15" s="1141"/>
      <c r="C15" s="1115"/>
      <c r="D15" s="1098"/>
      <c r="E15" s="793" t="s">
        <v>281</v>
      </c>
      <c r="F15" s="794">
        <f>IFERROR(F19*10000/(F14*F16),0)</f>
        <v>45000.000000000007</v>
      </c>
      <c r="G15" s="749" t="e">
        <f>#REF!+#REF!+#REF!+#REF!</f>
        <v>#REF!</v>
      </c>
      <c r="H15" s="795"/>
      <c r="I15" s="795">
        <f>J15</f>
        <v>45000</v>
      </c>
      <c r="J15" s="795">
        <f>成本构成!AG2</f>
        <v>45000</v>
      </c>
      <c r="K15" s="795">
        <f t="shared" ref="K15:W15" si="8">J15</f>
        <v>45000</v>
      </c>
      <c r="L15" s="795">
        <f t="shared" si="8"/>
        <v>45000</v>
      </c>
      <c r="M15" s="795">
        <f t="shared" si="8"/>
        <v>45000</v>
      </c>
      <c r="N15" s="795">
        <f t="shared" si="8"/>
        <v>45000</v>
      </c>
      <c r="O15" s="795">
        <f t="shared" si="8"/>
        <v>45000</v>
      </c>
      <c r="P15" s="795">
        <f t="shared" si="8"/>
        <v>45000</v>
      </c>
      <c r="Q15" s="795">
        <f t="shared" si="8"/>
        <v>45000</v>
      </c>
      <c r="R15" s="795">
        <f t="shared" si="8"/>
        <v>45000</v>
      </c>
      <c r="S15" s="795">
        <f t="shared" si="8"/>
        <v>45000</v>
      </c>
      <c r="T15" s="832">
        <f t="shared" si="8"/>
        <v>45000</v>
      </c>
      <c r="U15" s="795">
        <f t="shared" si="8"/>
        <v>45000</v>
      </c>
      <c r="V15" s="795">
        <f t="shared" si="8"/>
        <v>45000</v>
      </c>
      <c r="W15" s="839">
        <f t="shared" si="8"/>
        <v>45000</v>
      </c>
    </row>
    <row r="16" spans="1:23" ht="18" customHeight="1">
      <c r="A16" s="792" t="s">
        <v>296</v>
      </c>
      <c r="B16" s="1141"/>
      <c r="C16" s="1115"/>
      <c r="D16" s="1098"/>
      <c r="E16" s="790" t="s">
        <v>283</v>
      </c>
      <c r="F16" s="805">
        <f>IFERROR(SUM(H16:W16),0)</f>
        <v>1</v>
      </c>
      <c r="G16" s="797"/>
      <c r="H16" s="798"/>
      <c r="I16" s="798"/>
      <c r="J16" s="798">
        <f>J8</f>
        <v>0.12</v>
      </c>
      <c r="K16" s="798">
        <f t="shared" ref="K16:W16" si="9">K8</f>
        <v>0.1</v>
      </c>
      <c r="L16" s="798">
        <f t="shared" si="9"/>
        <v>0.13</v>
      </c>
      <c r="M16" s="798">
        <f t="shared" si="9"/>
        <v>0.1</v>
      </c>
      <c r="N16" s="798">
        <f t="shared" si="9"/>
        <v>0.1</v>
      </c>
      <c r="O16" s="798">
        <f t="shared" si="9"/>
        <v>0.1</v>
      </c>
      <c r="P16" s="798">
        <f t="shared" si="9"/>
        <v>0.13</v>
      </c>
      <c r="Q16" s="798">
        <f t="shared" si="9"/>
        <v>0.08</v>
      </c>
      <c r="R16" s="798">
        <f t="shared" si="9"/>
        <v>0.05</v>
      </c>
      <c r="S16" s="798">
        <f t="shared" si="9"/>
        <v>0.04</v>
      </c>
      <c r="T16" s="798">
        <f t="shared" si="9"/>
        <v>0.03</v>
      </c>
      <c r="U16" s="798">
        <f t="shared" si="9"/>
        <v>0.02</v>
      </c>
      <c r="V16" s="798">
        <f t="shared" si="9"/>
        <v>0</v>
      </c>
      <c r="W16" s="798">
        <f t="shared" si="9"/>
        <v>0</v>
      </c>
    </row>
    <row r="17" spans="1:23" ht="18" customHeight="1">
      <c r="A17" s="799" t="s">
        <v>297</v>
      </c>
      <c r="B17" s="1141"/>
      <c r="C17" s="1115"/>
      <c r="D17" s="1098"/>
      <c r="E17" s="793" t="s">
        <v>285</v>
      </c>
      <c r="F17" s="800">
        <f>IFERROR(SUM(H17:W17),0)</f>
        <v>399444.46200000006</v>
      </c>
      <c r="G17" s="800">
        <f>IFERROR(F17/(1+增值税适用税率),0)</f>
        <v>366462.80917431193</v>
      </c>
      <c r="H17" s="801">
        <f t="shared" ref="H17:W17" si="10">IFERROR(H15*H14/10000,0)</f>
        <v>0</v>
      </c>
      <c r="I17" s="801">
        <f t="shared" si="10"/>
        <v>0</v>
      </c>
      <c r="J17" s="801">
        <f t="shared" si="10"/>
        <v>47933.335439999995</v>
      </c>
      <c r="K17" s="801">
        <f t="shared" si="10"/>
        <v>39944.446200000006</v>
      </c>
      <c r="L17" s="801">
        <f t="shared" si="10"/>
        <v>51927.780060000005</v>
      </c>
      <c r="M17" s="801">
        <f t="shared" si="10"/>
        <v>39944.446200000006</v>
      </c>
      <c r="N17" s="801">
        <f t="shared" si="10"/>
        <v>39944.446200000006</v>
      </c>
      <c r="O17" s="801">
        <f t="shared" si="10"/>
        <v>39944.446200000006</v>
      </c>
      <c r="P17" s="801">
        <f t="shared" si="10"/>
        <v>51927.780060000005</v>
      </c>
      <c r="Q17" s="801">
        <f t="shared" si="10"/>
        <v>31955.556960000002</v>
      </c>
      <c r="R17" s="801">
        <f t="shared" si="10"/>
        <v>19972.223100000003</v>
      </c>
      <c r="S17" s="801">
        <f t="shared" si="10"/>
        <v>15977.778480000001</v>
      </c>
      <c r="T17" s="835">
        <f t="shared" si="10"/>
        <v>11983.333859999999</v>
      </c>
      <c r="U17" s="835">
        <f t="shared" si="10"/>
        <v>7988.8892400000004</v>
      </c>
      <c r="V17" s="835">
        <f t="shared" si="10"/>
        <v>0</v>
      </c>
      <c r="W17" s="835">
        <f t="shared" si="10"/>
        <v>0</v>
      </c>
    </row>
    <row r="18" spans="1:23" ht="18" customHeight="1">
      <c r="A18" s="789" t="s">
        <v>298</v>
      </c>
      <c r="B18" s="1141"/>
      <c r="C18" s="1115"/>
      <c r="D18" s="1098"/>
      <c r="E18" s="790" t="s">
        <v>287</v>
      </c>
      <c r="F18" s="802">
        <f>IFERROR(F19/F17,0)</f>
        <v>1</v>
      </c>
      <c r="G18" s="802"/>
      <c r="H18" s="803">
        <v>0.4</v>
      </c>
      <c r="I18" s="803">
        <f>IFERROR(H18,0)</f>
        <v>0.4</v>
      </c>
      <c r="J18" s="803">
        <f>IFERROR(I18,0)</f>
        <v>0.4</v>
      </c>
      <c r="K18" s="803">
        <f>IFERROR(J18,0)</f>
        <v>0.4</v>
      </c>
      <c r="L18" s="803">
        <f>IFERROR(K18,0)</f>
        <v>0.4</v>
      </c>
      <c r="M18" s="803">
        <v>1</v>
      </c>
      <c r="N18" s="803">
        <v>1</v>
      </c>
      <c r="O18" s="803">
        <v>1</v>
      </c>
      <c r="P18" s="803">
        <f t="shared" ref="P18:W18" si="11">IFERROR(O18,0)</f>
        <v>1</v>
      </c>
      <c r="Q18" s="803">
        <f t="shared" si="11"/>
        <v>1</v>
      </c>
      <c r="R18" s="803">
        <f t="shared" si="11"/>
        <v>1</v>
      </c>
      <c r="S18" s="803">
        <f t="shared" si="11"/>
        <v>1</v>
      </c>
      <c r="T18" s="836">
        <f t="shared" si="11"/>
        <v>1</v>
      </c>
      <c r="U18" s="836">
        <f t="shared" si="11"/>
        <v>1</v>
      </c>
      <c r="V18" s="836">
        <f t="shared" si="11"/>
        <v>1</v>
      </c>
      <c r="W18" s="836">
        <f t="shared" si="11"/>
        <v>1</v>
      </c>
    </row>
    <row r="19" spans="1:23" ht="18" customHeight="1">
      <c r="A19" s="799" t="s">
        <v>299</v>
      </c>
      <c r="B19" s="1141"/>
      <c r="C19" s="1115"/>
      <c r="D19" s="1098"/>
      <c r="E19" s="793" t="s">
        <v>289</v>
      </c>
      <c r="F19" s="800">
        <f>IFERROR(SUM(H19:W19),0)</f>
        <v>399444.46200000006</v>
      </c>
      <c r="G19" s="800">
        <f>IFERROR(F19/(1+增值税适用税率),0)</f>
        <v>366462.80917431193</v>
      </c>
      <c r="H19" s="801">
        <f t="shared" ref="H19:L19" si="12">IFERROR(H17*H18,0)</f>
        <v>0</v>
      </c>
      <c r="I19" s="801">
        <f t="shared" si="12"/>
        <v>0</v>
      </c>
      <c r="J19" s="801">
        <f t="shared" si="12"/>
        <v>19173.334176</v>
      </c>
      <c r="K19" s="801">
        <f t="shared" si="12"/>
        <v>15977.778480000003</v>
      </c>
      <c r="L19" s="801">
        <f t="shared" si="12"/>
        <v>20771.112024000002</v>
      </c>
      <c r="M19" s="801">
        <f>SUM(J17:L17)*0.6+M17*M18</f>
        <v>123827.78322000001</v>
      </c>
      <c r="N19" s="801">
        <f>IFERROR(N17*N18,0)</f>
        <v>39944.446200000006</v>
      </c>
      <c r="O19" s="801">
        <f t="shared" ref="O19:W19" si="13">IFERROR(O17*O18,0)</f>
        <v>39944.446200000006</v>
      </c>
      <c r="P19" s="801">
        <f t="shared" si="13"/>
        <v>51927.780060000005</v>
      </c>
      <c r="Q19" s="801">
        <f t="shared" si="13"/>
        <v>31955.556960000002</v>
      </c>
      <c r="R19" s="801">
        <f t="shared" si="13"/>
        <v>19972.223100000003</v>
      </c>
      <c r="S19" s="801">
        <f t="shared" si="13"/>
        <v>15977.778480000001</v>
      </c>
      <c r="T19" s="835">
        <f t="shared" si="13"/>
        <v>11983.333859999999</v>
      </c>
      <c r="U19" s="835">
        <f t="shared" si="13"/>
        <v>7988.8892400000004</v>
      </c>
      <c r="V19" s="835">
        <f t="shared" si="13"/>
        <v>0</v>
      </c>
      <c r="W19" s="835">
        <f t="shared" si="13"/>
        <v>0</v>
      </c>
    </row>
    <row r="20" spans="1:23" ht="18" customHeight="1">
      <c r="A20" s="789" t="s">
        <v>300</v>
      </c>
      <c r="B20" s="1141"/>
      <c r="C20" s="1115"/>
      <c r="D20" s="1098"/>
      <c r="E20" s="790" t="s">
        <v>291</v>
      </c>
      <c r="F20" s="802">
        <v>2.3E-2</v>
      </c>
      <c r="G20" s="802"/>
      <c r="H20" s="803"/>
      <c r="I20" s="803"/>
      <c r="J20" s="803"/>
      <c r="K20" s="803"/>
      <c r="L20" s="823"/>
      <c r="M20" s="823"/>
      <c r="N20" s="823"/>
      <c r="O20" s="823"/>
      <c r="P20" s="823"/>
      <c r="Q20" s="823"/>
      <c r="R20" s="823"/>
      <c r="S20" s="823"/>
      <c r="T20" s="837"/>
      <c r="U20" s="823"/>
      <c r="V20" s="823"/>
      <c r="W20" s="838"/>
    </row>
    <row r="21" spans="1:23" ht="18" customHeight="1">
      <c r="A21" s="799" t="s">
        <v>301</v>
      </c>
      <c r="B21" s="1141"/>
      <c r="C21" s="1115"/>
      <c r="D21" s="1098"/>
      <c r="E21" s="793" t="s">
        <v>293</v>
      </c>
      <c r="F21" s="800">
        <f>IFERROR(F19*F20,0)</f>
        <v>9187.2226260000007</v>
      </c>
      <c r="G21" s="800"/>
      <c r="H21" s="801">
        <f t="shared" ref="H21:W21" si="14">IFERROR(H19*$F20,0)</f>
        <v>0</v>
      </c>
      <c r="I21" s="801">
        <f t="shared" si="14"/>
        <v>0</v>
      </c>
      <c r="J21" s="801">
        <f t="shared" si="14"/>
        <v>440.98668604800002</v>
      </c>
      <c r="K21" s="801">
        <f t="shared" si="14"/>
        <v>367.48890504000008</v>
      </c>
      <c r="L21" s="801">
        <f t="shared" si="14"/>
        <v>477.73557655200005</v>
      </c>
      <c r="M21" s="801">
        <f t="shared" si="14"/>
        <v>2848.0390140600002</v>
      </c>
      <c r="N21" s="801">
        <f t="shared" si="14"/>
        <v>918.72226260000014</v>
      </c>
      <c r="O21" s="801">
        <f t="shared" si="14"/>
        <v>918.72226260000014</v>
      </c>
      <c r="P21" s="801">
        <f t="shared" si="14"/>
        <v>1194.3389413800001</v>
      </c>
      <c r="Q21" s="801">
        <f t="shared" si="14"/>
        <v>734.97781008000004</v>
      </c>
      <c r="R21" s="801">
        <f t="shared" si="14"/>
        <v>459.36113130000007</v>
      </c>
      <c r="S21" s="801">
        <f t="shared" si="14"/>
        <v>367.48890504000002</v>
      </c>
      <c r="T21" s="835">
        <f t="shared" si="14"/>
        <v>275.61667877999997</v>
      </c>
      <c r="U21" s="835">
        <f t="shared" si="14"/>
        <v>183.74445252000001</v>
      </c>
      <c r="V21" s="835">
        <f t="shared" si="14"/>
        <v>0</v>
      </c>
      <c r="W21" s="835">
        <f t="shared" si="14"/>
        <v>0</v>
      </c>
    </row>
    <row r="22" spans="1:23" ht="18" hidden="1" customHeight="1">
      <c r="A22" s="799"/>
      <c r="B22" s="1141"/>
      <c r="C22" s="1115"/>
      <c r="D22" s="804"/>
      <c r="E22" s="793"/>
      <c r="F22" s="806">
        <f>SUM(J22:W22)</f>
        <v>1</v>
      </c>
      <c r="G22" s="800"/>
      <c r="H22" s="801"/>
      <c r="I22" s="801"/>
      <c r="J22" s="817">
        <f t="shared" ref="J22:W22" si="15">J23/$F$23</f>
        <v>0.12</v>
      </c>
      <c r="K22" s="817">
        <f t="shared" si="15"/>
        <v>0.1</v>
      </c>
      <c r="L22" s="817">
        <f t="shared" si="15"/>
        <v>0.13</v>
      </c>
      <c r="M22" s="817">
        <f t="shared" si="15"/>
        <v>0.1</v>
      </c>
      <c r="N22" s="817">
        <f t="shared" si="15"/>
        <v>0.1</v>
      </c>
      <c r="O22" s="817">
        <f t="shared" si="15"/>
        <v>0.1</v>
      </c>
      <c r="P22" s="817">
        <f t="shared" si="15"/>
        <v>0.13</v>
      </c>
      <c r="Q22" s="817">
        <f t="shared" si="15"/>
        <v>0.08</v>
      </c>
      <c r="R22" s="817">
        <f t="shared" si="15"/>
        <v>0.05</v>
      </c>
      <c r="S22" s="817">
        <f t="shared" si="15"/>
        <v>0.04</v>
      </c>
      <c r="T22" s="840">
        <f t="shared" si="15"/>
        <v>0.03</v>
      </c>
      <c r="U22" s="840">
        <f t="shared" si="15"/>
        <v>0.02</v>
      </c>
      <c r="V22" s="840">
        <f t="shared" si="15"/>
        <v>0</v>
      </c>
      <c r="W22" s="840">
        <f t="shared" si="15"/>
        <v>0</v>
      </c>
    </row>
    <row r="23" spans="1:23" ht="18" customHeight="1">
      <c r="A23" s="789" t="s">
        <v>302</v>
      </c>
      <c r="B23" s="1141"/>
      <c r="C23" s="1115"/>
      <c r="D23" s="1099" t="s">
        <v>303</v>
      </c>
      <c r="E23" s="790" t="s">
        <v>304</v>
      </c>
      <c r="F23" s="807">
        <f>IFERROR(F6+F14,0)</f>
        <v>105613.436</v>
      </c>
      <c r="G23" s="807"/>
      <c r="H23" s="791">
        <f t="shared" ref="H23:W23" si="16">IFERROR(H6+H14,0)</f>
        <v>0</v>
      </c>
      <c r="I23" s="791">
        <f t="shared" si="16"/>
        <v>0</v>
      </c>
      <c r="J23" s="791">
        <f>IFERROR(J6+J14,0)</f>
        <v>12673.61232</v>
      </c>
      <c r="K23" s="791">
        <f t="shared" si="16"/>
        <v>10561.3436</v>
      </c>
      <c r="L23" s="791">
        <f t="shared" si="16"/>
        <v>13729.74668</v>
      </c>
      <c r="M23" s="791">
        <f t="shared" si="16"/>
        <v>10561.3436</v>
      </c>
      <c r="N23" s="791">
        <f t="shared" si="16"/>
        <v>10561.3436</v>
      </c>
      <c r="O23" s="791">
        <f t="shared" si="16"/>
        <v>10561.3436</v>
      </c>
      <c r="P23" s="791">
        <f t="shared" si="16"/>
        <v>13729.74668</v>
      </c>
      <c r="Q23" s="791">
        <f t="shared" si="16"/>
        <v>8449.0748800000001</v>
      </c>
      <c r="R23" s="791">
        <f t="shared" si="16"/>
        <v>5280.6718000000001</v>
      </c>
      <c r="S23" s="791">
        <f t="shared" si="16"/>
        <v>4224.5374400000001</v>
      </c>
      <c r="T23" s="831">
        <f t="shared" si="16"/>
        <v>3168.40308</v>
      </c>
      <c r="U23" s="831">
        <f t="shared" si="16"/>
        <v>2112.26872</v>
      </c>
      <c r="V23" s="831">
        <f t="shared" si="16"/>
        <v>0</v>
      </c>
      <c r="W23" s="831">
        <f t="shared" si="16"/>
        <v>0</v>
      </c>
    </row>
    <row r="24" spans="1:23" ht="18" customHeight="1">
      <c r="A24" s="799" t="s">
        <v>305</v>
      </c>
      <c r="B24" s="1141"/>
      <c r="C24" s="1115"/>
      <c r="D24" s="1099"/>
      <c r="E24" s="793" t="s">
        <v>306</v>
      </c>
      <c r="F24" s="794">
        <f>IFERROR(F25/F23*10000,0)</f>
        <v>45000.000000000007</v>
      </c>
      <c r="G24" s="794"/>
      <c r="H24" s="808">
        <f t="shared" ref="H24:W24" si="17">IFERROR(H25/H23*10000,0)</f>
        <v>0</v>
      </c>
      <c r="I24" s="808">
        <f t="shared" si="17"/>
        <v>0</v>
      </c>
      <c r="J24" s="808">
        <f t="shared" si="17"/>
        <v>44999.999999999993</v>
      </c>
      <c r="K24" s="808">
        <f t="shared" si="17"/>
        <v>45000</v>
      </c>
      <c r="L24" s="808">
        <f t="shared" si="17"/>
        <v>45000</v>
      </c>
      <c r="M24" s="808">
        <f t="shared" si="17"/>
        <v>45000</v>
      </c>
      <c r="N24" s="808">
        <f t="shared" si="17"/>
        <v>45000</v>
      </c>
      <c r="O24" s="808">
        <f t="shared" si="17"/>
        <v>45000</v>
      </c>
      <c r="P24" s="808">
        <f t="shared" si="17"/>
        <v>45000</v>
      </c>
      <c r="Q24" s="808">
        <f t="shared" si="17"/>
        <v>45000</v>
      </c>
      <c r="R24" s="808">
        <f t="shared" si="17"/>
        <v>45000</v>
      </c>
      <c r="S24" s="808">
        <f t="shared" si="17"/>
        <v>45000</v>
      </c>
      <c r="T24" s="841">
        <f t="shared" si="17"/>
        <v>44999.999999999993</v>
      </c>
      <c r="U24" s="841">
        <f t="shared" si="17"/>
        <v>45000</v>
      </c>
      <c r="V24" s="841">
        <f t="shared" si="17"/>
        <v>0</v>
      </c>
      <c r="W24" s="841">
        <f t="shared" si="17"/>
        <v>0</v>
      </c>
    </row>
    <row r="25" spans="1:23" ht="18" customHeight="1">
      <c r="A25" s="789" t="s">
        <v>307</v>
      </c>
      <c r="B25" s="1141"/>
      <c r="C25" s="1115"/>
      <c r="D25" s="1099"/>
      <c r="E25" s="790" t="s">
        <v>308</v>
      </c>
      <c r="F25" s="809">
        <f>IFERROR(F9+F17,0)</f>
        <v>475260.46200000006</v>
      </c>
      <c r="G25" s="809"/>
      <c r="H25" s="810">
        <f t="shared" ref="H25:W25" si="18">IFERROR(H9+H17,0)</f>
        <v>0</v>
      </c>
      <c r="I25" s="810">
        <f t="shared" si="18"/>
        <v>0</v>
      </c>
      <c r="J25" s="810">
        <f>IFERROR(J9+J17,0)</f>
        <v>57031.255439999994</v>
      </c>
      <c r="K25" s="810">
        <f t="shared" si="18"/>
        <v>47526.046200000004</v>
      </c>
      <c r="L25" s="810">
        <f t="shared" si="18"/>
        <v>61783.860060000006</v>
      </c>
      <c r="M25" s="810">
        <f t="shared" si="18"/>
        <v>47526.046200000004</v>
      </c>
      <c r="N25" s="810">
        <f t="shared" si="18"/>
        <v>47526.046200000004</v>
      </c>
      <c r="O25" s="810">
        <f t="shared" si="18"/>
        <v>47526.046200000004</v>
      </c>
      <c r="P25" s="810">
        <f t="shared" si="18"/>
        <v>61783.860060000006</v>
      </c>
      <c r="Q25" s="810">
        <f t="shared" si="18"/>
        <v>38020.836960000001</v>
      </c>
      <c r="R25" s="810">
        <f t="shared" si="18"/>
        <v>23763.023100000002</v>
      </c>
      <c r="S25" s="810">
        <f t="shared" si="18"/>
        <v>19010.41848</v>
      </c>
      <c r="T25" s="842">
        <f t="shared" si="18"/>
        <v>14257.813859999998</v>
      </c>
      <c r="U25" s="842">
        <f t="shared" si="18"/>
        <v>9505.2092400000001</v>
      </c>
      <c r="V25" s="842">
        <f t="shared" si="18"/>
        <v>0</v>
      </c>
      <c r="W25" s="842">
        <f t="shared" si="18"/>
        <v>0</v>
      </c>
    </row>
    <row r="26" spans="1:23" ht="18" customHeight="1">
      <c r="A26" s="799" t="s">
        <v>309</v>
      </c>
      <c r="B26" s="1141"/>
      <c r="C26" s="1115"/>
      <c r="D26" s="1099"/>
      <c r="E26" s="793" t="s">
        <v>310</v>
      </c>
      <c r="F26" s="800">
        <f>IFERROR(SUM(H26:W26),0)</f>
        <v>475260.46199999994</v>
      </c>
      <c r="G26" s="800">
        <f>IFERROR(F26/(1+增值税适用税率),0)</f>
        <v>436018.77247706411</v>
      </c>
      <c r="H26" s="801">
        <f t="shared" ref="H26:W26" si="19">IFERROR(H11+H19,0)</f>
        <v>0</v>
      </c>
      <c r="I26" s="801">
        <f t="shared" si="19"/>
        <v>0</v>
      </c>
      <c r="J26" s="801">
        <f t="shared" si="19"/>
        <v>22812.502176000002</v>
      </c>
      <c r="K26" s="801">
        <f t="shared" si="19"/>
        <v>19010.418480000004</v>
      </c>
      <c r="L26" s="801">
        <f t="shared" si="19"/>
        <v>24713.544024000003</v>
      </c>
      <c r="M26" s="801">
        <f t="shared" si="19"/>
        <v>147330.74322</v>
      </c>
      <c r="N26" s="801">
        <f t="shared" si="19"/>
        <v>47526.046200000004</v>
      </c>
      <c r="O26" s="801">
        <f t="shared" si="19"/>
        <v>47526.046200000004</v>
      </c>
      <c r="P26" s="801">
        <f t="shared" si="19"/>
        <v>61783.860060000006</v>
      </c>
      <c r="Q26" s="801">
        <f t="shared" si="19"/>
        <v>38020.836960000001</v>
      </c>
      <c r="R26" s="801">
        <f t="shared" si="19"/>
        <v>23763.023100000002</v>
      </c>
      <c r="S26" s="801">
        <f t="shared" si="19"/>
        <v>19010.41848</v>
      </c>
      <c r="T26" s="835">
        <f t="shared" si="19"/>
        <v>14257.813859999998</v>
      </c>
      <c r="U26" s="835">
        <f t="shared" si="19"/>
        <v>9505.2092400000001</v>
      </c>
      <c r="V26" s="835">
        <f t="shared" si="19"/>
        <v>0</v>
      </c>
      <c r="W26" s="835">
        <f t="shared" si="19"/>
        <v>0</v>
      </c>
    </row>
    <row r="27" spans="1:23" ht="18" customHeight="1">
      <c r="A27" s="789" t="s">
        <v>311</v>
      </c>
      <c r="B27" s="1141"/>
      <c r="C27" s="1116" t="s">
        <v>312</v>
      </c>
      <c r="D27" s="1097" t="s">
        <v>313</v>
      </c>
      <c r="E27" s="790" t="s">
        <v>279</v>
      </c>
      <c r="F27" s="749">
        <f>IFERROR(规划指标!E42,0)</f>
        <v>2839.4999999999995</v>
      </c>
      <c r="G27" s="749"/>
      <c r="H27" s="791">
        <f t="shared" ref="H27:W27" si="20">IFERROR($F27*H29,0)</f>
        <v>0</v>
      </c>
      <c r="I27" s="791">
        <f t="shared" si="20"/>
        <v>0</v>
      </c>
      <c r="J27" s="791">
        <f t="shared" si="20"/>
        <v>0</v>
      </c>
      <c r="K27" s="791">
        <f t="shared" si="20"/>
        <v>0</v>
      </c>
      <c r="L27" s="791">
        <f t="shared" si="20"/>
        <v>0</v>
      </c>
      <c r="M27" s="791">
        <f t="shared" si="20"/>
        <v>141.97499999999999</v>
      </c>
      <c r="N27" s="791">
        <f t="shared" si="20"/>
        <v>141.97499999999999</v>
      </c>
      <c r="O27" s="791">
        <f t="shared" si="20"/>
        <v>141.97499999999999</v>
      </c>
      <c r="P27" s="791">
        <f t="shared" si="20"/>
        <v>141.97499999999999</v>
      </c>
      <c r="Q27" s="791">
        <f t="shared" si="20"/>
        <v>141.97499999999999</v>
      </c>
      <c r="R27" s="791">
        <f t="shared" si="20"/>
        <v>425.9249999999999</v>
      </c>
      <c r="S27" s="791">
        <f t="shared" si="20"/>
        <v>425.9249999999999</v>
      </c>
      <c r="T27" s="831">
        <f t="shared" si="20"/>
        <v>425.9249999999999</v>
      </c>
      <c r="U27" s="831">
        <f t="shared" si="20"/>
        <v>425.9249999999999</v>
      </c>
      <c r="V27" s="831">
        <f t="shared" si="20"/>
        <v>283.95</v>
      </c>
      <c r="W27" s="831">
        <f t="shared" si="20"/>
        <v>141.97499999999999</v>
      </c>
    </row>
    <row r="28" spans="1:23" ht="18" customHeight="1">
      <c r="A28" s="792" t="s">
        <v>314</v>
      </c>
      <c r="B28" s="1141"/>
      <c r="C28" s="1116"/>
      <c r="D28" s="1098"/>
      <c r="E28" s="793" t="s">
        <v>281</v>
      </c>
      <c r="F28" s="794">
        <f>IFERROR(F32*10000/(F27*F29),0)</f>
        <v>6000.0000000000009</v>
      </c>
      <c r="G28" s="749" t="e">
        <f>#REF!+#REF!+#REF!+#REF!</f>
        <v>#REF!</v>
      </c>
      <c r="H28" s="795"/>
      <c r="I28" s="795"/>
      <c r="J28" s="795"/>
      <c r="K28" s="795"/>
      <c r="L28" s="824"/>
      <c r="M28" s="824">
        <f>N28</f>
        <v>6000</v>
      </c>
      <c r="N28" s="824">
        <v>6000</v>
      </c>
      <c r="O28" s="824">
        <f t="shared" ref="O28:W28" si="21">N28</f>
        <v>6000</v>
      </c>
      <c r="P28" s="824">
        <f t="shared" si="21"/>
        <v>6000</v>
      </c>
      <c r="Q28" s="824">
        <f t="shared" si="21"/>
        <v>6000</v>
      </c>
      <c r="R28" s="824">
        <f t="shared" si="21"/>
        <v>6000</v>
      </c>
      <c r="S28" s="824">
        <f t="shared" si="21"/>
        <v>6000</v>
      </c>
      <c r="T28" s="843">
        <f t="shared" si="21"/>
        <v>6000</v>
      </c>
      <c r="U28" s="824">
        <f t="shared" si="21"/>
        <v>6000</v>
      </c>
      <c r="V28" s="824">
        <f t="shared" si="21"/>
        <v>6000</v>
      </c>
      <c r="W28" s="824">
        <f t="shared" si="21"/>
        <v>6000</v>
      </c>
    </row>
    <row r="29" spans="1:23" ht="18" customHeight="1">
      <c r="A29" s="792" t="s">
        <v>315</v>
      </c>
      <c r="B29" s="1141"/>
      <c r="C29" s="1116"/>
      <c r="D29" s="1098"/>
      <c r="E29" s="790" t="s">
        <v>283</v>
      </c>
      <c r="F29" s="805">
        <f>IFERROR(SUM(H29:W29),0)</f>
        <v>1</v>
      </c>
      <c r="G29" s="797"/>
      <c r="H29" s="798"/>
      <c r="I29" s="798"/>
      <c r="J29" s="798"/>
      <c r="K29" s="798"/>
      <c r="L29" s="822"/>
      <c r="M29" s="822">
        <v>0.05</v>
      </c>
      <c r="N29" s="822">
        <v>0.05</v>
      </c>
      <c r="O29" s="822">
        <v>0.05</v>
      </c>
      <c r="P29" s="822">
        <v>0.05</v>
      </c>
      <c r="Q29" s="822">
        <v>0.05</v>
      </c>
      <c r="R29" s="822">
        <v>0.15</v>
      </c>
      <c r="S29" s="822">
        <v>0.15</v>
      </c>
      <c r="T29" s="833">
        <v>0.15</v>
      </c>
      <c r="U29" s="822">
        <v>0.15</v>
      </c>
      <c r="V29" s="822">
        <v>0.1</v>
      </c>
      <c r="W29" s="834">
        <v>0.05</v>
      </c>
    </row>
    <row r="30" spans="1:23" ht="18" customHeight="1">
      <c r="A30" s="799" t="s">
        <v>316</v>
      </c>
      <c r="B30" s="1141"/>
      <c r="C30" s="1116"/>
      <c r="D30" s="1098"/>
      <c r="E30" s="811" t="s">
        <v>285</v>
      </c>
      <c r="F30" s="800">
        <f>IFERROR(SUM(H30:W30),0)</f>
        <v>1703.6999999999998</v>
      </c>
      <c r="G30" s="800">
        <f>IFERROR(F30/(1+增值税适用税率),0)</f>
        <v>1563.0275229357796</v>
      </c>
      <c r="H30" s="801">
        <f t="shared" ref="H30:W30" si="22">IFERROR(H28*H27/10000,0)</f>
        <v>0</v>
      </c>
      <c r="I30" s="801">
        <f t="shared" si="22"/>
        <v>0</v>
      </c>
      <c r="J30" s="801">
        <f t="shared" si="22"/>
        <v>0</v>
      </c>
      <c r="K30" s="801">
        <f t="shared" si="22"/>
        <v>0</v>
      </c>
      <c r="L30" s="801">
        <f t="shared" si="22"/>
        <v>0</v>
      </c>
      <c r="M30" s="801">
        <f t="shared" si="22"/>
        <v>85.185000000000002</v>
      </c>
      <c r="N30" s="801">
        <f t="shared" si="22"/>
        <v>85.185000000000002</v>
      </c>
      <c r="O30" s="801">
        <f t="shared" si="22"/>
        <v>85.185000000000002</v>
      </c>
      <c r="P30" s="801">
        <f t="shared" si="22"/>
        <v>85.185000000000002</v>
      </c>
      <c r="Q30" s="801">
        <f t="shared" si="22"/>
        <v>85.185000000000002</v>
      </c>
      <c r="R30" s="801">
        <f t="shared" si="22"/>
        <v>255.55499999999995</v>
      </c>
      <c r="S30" s="801">
        <f t="shared" si="22"/>
        <v>255.55499999999995</v>
      </c>
      <c r="T30" s="835">
        <f t="shared" si="22"/>
        <v>255.55499999999995</v>
      </c>
      <c r="U30" s="835">
        <f t="shared" si="22"/>
        <v>255.55499999999995</v>
      </c>
      <c r="V30" s="835">
        <f t="shared" si="22"/>
        <v>170.37</v>
      </c>
      <c r="W30" s="835">
        <f t="shared" si="22"/>
        <v>85.185000000000002</v>
      </c>
    </row>
    <row r="31" spans="1:23" ht="18" customHeight="1">
      <c r="A31" s="789" t="s">
        <v>317</v>
      </c>
      <c r="B31" s="1141"/>
      <c r="C31" s="1116"/>
      <c r="D31" s="1098"/>
      <c r="E31" s="790" t="s">
        <v>287</v>
      </c>
      <c r="F31" s="802">
        <v>1</v>
      </c>
      <c r="G31" s="802">
        <f t="shared" ref="G31:W31" si="23">IFERROR(F31,0)</f>
        <v>1</v>
      </c>
      <c r="H31" s="803">
        <f t="shared" si="23"/>
        <v>1</v>
      </c>
      <c r="I31" s="803">
        <f t="shared" si="23"/>
        <v>1</v>
      </c>
      <c r="J31" s="803">
        <f t="shared" si="23"/>
        <v>1</v>
      </c>
      <c r="K31" s="803">
        <f t="shared" si="23"/>
        <v>1</v>
      </c>
      <c r="L31" s="803">
        <f t="shared" si="23"/>
        <v>1</v>
      </c>
      <c r="M31" s="803">
        <f t="shared" si="23"/>
        <v>1</v>
      </c>
      <c r="N31" s="803">
        <f t="shared" si="23"/>
        <v>1</v>
      </c>
      <c r="O31" s="803">
        <f t="shared" si="23"/>
        <v>1</v>
      </c>
      <c r="P31" s="803">
        <f t="shared" si="23"/>
        <v>1</v>
      </c>
      <c r="Q31" s="803">
        <f t="shared" si="23"/>
        <v>1</v>
      </c>
      <c r="R31" s="803">
        <f t="shared" si="23"/>
        <v>1</v>
      </c>
      <c r="S31" s="803">
        <f t="shared" si="23"/>
        <v>1</v>
      </c>
      <c r="T31" s="836">
        <f t="shared" si="23"/>
        <v>1</v>
      </c>
      <c r="U31" s="836">
        <f t="shared" si="23"/>
        <v>1</v>
      </c>
      <c r="V31" s="836">
        <f t="shared" si="23"/>
        <v>1</v>
      </c>
      <c r="W31" s="836">
        <f t="shared" si="23"/>
        <v>1</v>
      </c>
    </row>
    <row r="32" spans="1:23" ht="18" customHeight="1">
      <c r="A32" s="799" t="s">
        <v>318</v>
      </c>
      <c r="B32" s="1141"/>
      <c r="C32" s="1116"/>
      <c r="D32" s="1098"/>
      <c r="E32" s="811" t="s">
        <v>289</v>
      </c>
      <c r="F32" s="800">
        <f>IFERROR(SUM(H32:W32),0)</f>
        <v>1703.6999999999998</v>
      </c>
      <c r="G32" s="800">
        <f>IFERROR(F32/(1+增值税适用税率),0)</f>
        <v>1563.0275229357796</v>
      </c>
      <c r="H32" s="801">
        <f t="shared" ref="H32:W32" si="24">IFERROR(H30*H31,0)</f>
        <v>0</v>
      </c>
      <c r="I32" s="801">
        <f t="shared" si="24"/>
        <v>0</v>
      </c>
      <c r="J32" s="801">
        <f t="shared" si="24"/>
        <v>0</v>
      </c>
      <c r="K32" s="801">
        <f t="shared" si="24"/>
        <v>0</v>
      </c>
      <c r="L32" s="801">
        <f t="shared" si="24"/>
        <v>0</v>
      </c>
      <c r="M32" s="801">
        <f t="shared" si="24"/>
        <v>85.185000000000002</v>
      </c>
      <c r="N32" s="801">
        <f t="shared" si="24"/>
        <v>85.185000000000002</v>
      </c>
      <c r="O32" s="801">
        <f t="shared" si="24"/>
        <v>85.185000000000002</v>
      </c>
      <c r="P32" s="801">
        <f t="shared" si="24"/>
        <v>85.185000000000002</v>
      </c>
      <c r="Q32" s="801">
        <f t="shared" si="24"/>
        <v>85.185000000000002</v>
      </c>
      <c r="R32" s="801">
        <f t="shared" si="24"/>
        <v>255.55499999999995</v>
      </c>
      <c r="S32" s="801">
        <f t="shared" si="24"/>
        <v>255.55499999999995</v>
      </c>
      <c r="T32" s="835">
        <f t="shared" si="24"/>
        <v>255.55499999999995</v>
      </c>
      <c r="U32" s="835">
        <f t="shared" si="24"/>
        <v>255.55499999999995</v>
      </c>
      <c r="V32" s="835">
        <f t="shared" si="24"/>
        <v>170.37</v>
      </c>
      <c r="W32" s="835">
        <f t="shared" si="24"/>
        <v>85.185000000000002</v>
      </c>
    </row>
    <row r="33" spans="1:23" ht="18" customHeight="1">
      <c r="A33" s="789" t="s">
        <v>319</v>
      </c>
      <c r="B33" s="1141"/>
      <c r="C33" s="1116"/>
      <c r="D33" s="1098"/>
      <c r="E33" s="790" t="s">
        <v>291</v>
      </c>
      <c r="F33" s="802">
        <v>2.3E-2</v>
      </c>
      <c r="G33" s="802"/>
      <c r="H33" s="803"/>
      <c r="I33" s="803"/>
      <c r="J33" s="803"/>
      <c r="K33" s="803"/>
      <c r="L33" s="823"/>
      <c r="M33" s="823"/>
      <c r="N33" s="823" t="s">
        <v>320</v>
      </c>
      <c r="O33" s="823"/>
      <c r="P33" s="823"/>
      <c r="Q33" s="823"/>
      <c r="R33" s="823"/>
      <c r="S33" s="823"/>
      <c r="T33" s="837"/>
      <c r="U33" s="823"/>
      <c r="V33" s="823"/>
      <c r="W33" s="838"/>
    </row>
    <row r="34" spans="1:23" ht="18" customHeight="1">
      <c r="A34" s="799" t="s">
        <v>321</v>
      </c>
      <c r="B34" s="1141"/>
      <c r="C34" s="1116"/>
      <c r="D34" s="1098"/>
      <c r="E34" s="793" t="s">
        <v>293</v>
      </c>
      <c r="F34" s="800">
        <f>IFERROR(SUM(H34:W34),0)</f>
        <v>39.185099999999984</v>
      </c>
      <c r="G34" s="800"/>
      <c r="H34" s="801">
        <f t="shared" ref="H34:W34" si="25">IFERROR(H32*$F33,0)</f>
        <v>0</v>
      </c>
      <c r="I34" s="801">
        <f t="shared" si="25"/>
        <v>0</v>
      </c>
      <c r="J34" s="801">
        <f t="shared" si="25"/>
        <v>0</v>
      </c>
      <c r="K34" s="801">
        <f t="shared" si="25"/>
        <v>0</v>
      </c>
      <c r="L34" s="801">
        <f t="shared" si="25"/>
        <v>0</v>
      </c>
      <c r="M34" s="801">
        <f t="shared" si="25"/>
        <v>1.959255</v>
      </c>
      <c r="N34" s="801">
        <f t="shared" si="25"/>
        <v>1.959255</v>
      </c>
      <c r="O34" s="801">
        <f t="shared" si="25"/>
        <v>1.959255</v>
      </c>
      <c r="P34" s="801">
        <f t="shared" si="25"/>
        <v>1.959255</v>
      </c>
      <c r="Q34" s="801">
        <f t="shared" si="25"/>
        <v>1.959255</v>
      </c>
      <c r="R34" s="801">
        <f t="shared" si="25"/>
        <v>5.8777649999999984</v>
      </c>
      <c r="S34" s="801">
        <f t="shared" si="25"/>
        <v>5.8777649999999984</v>
      </c>
      <c r="T34" s="835">
        <f t="shared" si="25"/>
        <v>5.8777649999999984</v>
      </c>
      <c r="U34" s="835">
        <f t="shared" si="25"/>
        <v>5.8777649999999984</v>
      </c>
      <c r="V34" s="835">
        <f t="shared" si="25"/>
        <v>3.9185099999999999</v>
      </c>
      <c r="W34" s="835">
        <f t="shared" si="25"/>
        <v>1.959255</v>
      </c>
    </row>
    <row r="35" spans="1:23" ht="18" customHeight="1">
      <c r="A35" s="789" t="s">
        <v>322</v>
      </c>
      <c r="B35" s="1141"/>
      <c r="C35" s="1116"/>
      <c r="D35" s="1099" t="s">
        <v>323</v>
      </c>
      <c r="E35" s="790" t="s">
        <v>279</v>
      </c>
      <c r="F35" s="749">
        <f>IFERROR(规划指标!E43,0)</f>
        <v>1097</v>
      </c>
      <c r="G35" s="749"/>
      <c r="H35" s="791">
        <f t="shared" ref="H35:W35" si="26">IFERROR($F35*H37,0)</f>
        <v>0</v>
      </c>
      <c r="I35" s="791">
        <f t="shared" si="26"/>
        <v>0</v>
      </c>
      <c r="J35" s="791">
        <f t="shared" si="26"/>
        <v>131.63999999999999</v>
      </c>
      <c r="K35" s="791">
        <f t="shared" si="26"/>
        <v>109.7</v>
      </c>
      <c r="L35" s="791">
        <f t="shared" si="26"/>
        <v>142.61000000000001</v>
      </c>
      <c r="M35" s="791">
        <f t="shared" si="26"/>
        <v>109.7</v>
      </c>
      <c r="N35" s="791">
        <f t="shared" si="26"/>
        <v>109.7</v>
      </c>
      <c r="O35" s="791">
        <f t="shared" si="26"/>
        <v>109.7</v>
      </c>
      <c r="P35" s="791">
        <f t="shared" si="26"/>
        <v>142.61000000000001</v>
      </c>
      <c r="Q35" s="791">
        <f t="shared" si="26"/>
        <v>87.76</v>
      </c>
      <c r="R35" s="791">
        <f t="shared" si="26"/>
        <v>54.85</v>
      </c>
      <c r="S35" s="791">
        <f t="shared" si="26"/>
        <v>43.88</v>
      </c>
      <c r="T35" s="831">
        <f t="shared" si="26"/>
        <v>32.909999999999997</v>
      </c>
      <c r="U35" s="831">
        <f t="shared" si="26"/>
        <v>21.94</v>
      </c>
      <c r="V35" s="831">
        <f t="shared" si="26"/>
        <v>0</v>
      </c>
      <c r="W35" s="831">
        <f t="shared" si="26"/>
        <v>0</v>
      </c>
    </row>
    <row r="36" spans="1:23" ht="18" customHeight="1">
      <c r="A36" s="792" t="s">
        <v>324</v>
      </c>
      <c r="B36" s="1141"/>
      <c r="C36" s="1116"/>
      <c r="D36" s="1107"/>
      <c r="E36" s="793" t="s">
        <v>281</v>
      </c>
      <c r="F36" s="794">
        <f>IFERROR(F40*10000/(F35*F37),0)</f>
        <v>45000</v>
      </c>
      <c r="G36" s="749" t="e">
        <f>#REF!+#REF!+#REF!+#REF!</f>
        <v>#REF!</v>
      </c>
      <c r="H36" s="795"/>
      <c r="I36" s="795">
        <f>J36</f>
        <v>45000</v>
      </c>
      <c r="J36" s="795">
        <f t="shared" ref="J36:V36" si="27">J15</f>
        <v>45000</v>
      </c>
      <c r="K36" s="795">
        <f t="shared" si="27"/>
        <v>45000</v>
      </c>
      <c r="L36" s="795">
        <f t="shared" si="27"/>
        <v>45000</v>
      </c>
      <c r="M36" s="795">
        <f t="shared" si="27"/>
        <v>45000</v>
      </c>
      <c r="N36" s="795">
        <f t="shared" si="27"/>
        <v>45000</v>
      </c>
      <c r="O36" s="795">
        <f t="shared" si="27"/>
        <v>45000</v>
      </c>
      <c r="P36" s="795">
        <f t="shared" si="27"/>
        <v>45000</v>
      </c>
      <c r="Q36" s="795">
        <f t="shared" si="27"/>
        <v>45000</v>
      </c>
      <c r="R36" s="795">
        <f t="shared" si="27"/>
        <v>45000</v>
      </c>
      <c r="S36" s="795">
        <f t="shared" si="27"/>
        <v>45000</v>
      </c>
      <c r="T36" s="832">
        <f t="shared" si="27"/>
        <v>45000</v>
      </c>
      <c r="U36" s="795">
        <f t="shared" si="27"/>
        <v>45000</v>
      </c>
      <c r="V36" s="795">
        <f t="shared" si="27"/>
        <v>45000</v>
      </c>
      <c r="W36" s="839">
        <f>V36</f>
        <v>45000</v>
      </c>
    </row>
    <row r="37" spans="1:23" ht="18" customHeight="1">
      <c r="A37" s="792" t="s">
        <v>325</v>
      </c>
      <c r="B37" s="1141"/>
      <c r="C37" s="1116"/>
      <c r="D37" s="1107"/>
      <c r="E37" s="790" t="s">
        <v>283</v>
      </c>
      <c r="F37" s="805">
        <f>IFERROR(SUM(H37:W37),0)</f>
        <v>1</v>
      </c>
      <c r="G37" s="797"/>
      <c r="H37" s="798"/>
      <c r="I37" s="798"/>
      <c r="J37" s="798">
        <f>J16</f>
        <v>0.12</v>
      </c>
      <c r="K37" s="798">
        <f t="shared" ref="K37:W37" si="28">K16</f>
        <v>0.1</v>
      </c>
      <c r="L37" s="798">
        <f t="shared" si="28"/>
        <v>0.13</v>
      </c>
      <c r="M37" s="798">
        <f t="shared" si="28"/>
        <v>0.1</v>
      </c>
      <c r="N37" s="798">
        <f t="shared" si="28"/>
        <v>0.1</v>
      </c>
      <c r="O37" s="798">
        <f t="shared" si="28"/>
        <v>0.1</v>
      </c>
      <c r="P37" s="798">
        <f t="shared" si="28"/>
        <v>0.13</v>
      </c>
      <c r="Q37" s="798">
        <f t="shared" si="28"/>
        <v>0.08</v>
      </c>
      <c r="R37" s="798">
        <f t="shared" si="28"/>
        <v>0.05</v>
      </c>
      <c r="S37" s="798">
        <f t="shared" si="28"/>
        <v>0.04</v>
      </c>
      <c r="T37" s="798">
        <f t="shared" si="28"/>
        <v>0.03</v>
      </c>
      <c r="U37" s="798">
        <f t="shared" si="28"/>
        <v>0.02</v>
      </c>
      <c r="V37" s="798">
        <f t="shared" si="28"/>
        <v>0</v>
      </c>
      <c r="W37" s="798">
        <f t="shared" si="28"/>
        <v>0</v>
      </c>
    </row>
    <row r="38" spans="1:23" ht="18" customHeight="1">
      <c r="A38" s="799" t="s">
        <v>326</v>
      </c>
      <c r="B38" s="1141"/>
      <c r="C38" s="1116"/>
      <c r="D38" s="1107"/>
      <c r="E38" s="811" t="s">
        <v>285</v>
      </c>
      <c r="F38" s="800">
        <f>IFERROR(SUM(H38:W38),0)</f>
        <v>4936.5</v>
      </c>
      <c r="G38" s="800">
        <f>IFERROR(F38/(1+增值税适用税率),0)</f>
        <v>4528.899082568807</v>
      </c>
      <c r="H38" s="801">
        <f t="shared" ref="H38:W38" si="29">IFERROR(H36*H35/10000,0)</f>
        <v>0</v>
      </c>
      <c r="I38" s="801">
        <f t="shared" si="29"/>
        <v>0</v>
      </c>
      <c r="J38" s="801">
        <f t="shared" si="29"/>
        <v>592.37999999999988</v>
      </c>
      <c r="K38" s="801">
        <f t="shared" si="29"/>
        <v>493.65</v>
      </c>
      <c r="L38" s="801">
        <f t="shared" si="29"/>
        <v>641.74500000000012</v>
      </c>
      <c r="M38" s="801">
        <f t="shared" si="29"/>
        <v>493.65</v>
      </c>
      <c r="N38" s="801">
        <f t="shared" si="29"/>
        <v>493.65</v>
      </c>
      <c r="O38" s="801">
        <f t="shared" si="29"/>
        <v>493.65</v>
      </c>
      <c r="P38" s="801">
        <f t="shared" si="29"/>
        <v>641.74500000000012</v>
      </c>
      <c r="Q38" s="801">
        <f t="shared" si="29"/>
        <v>394.92</v>
      </c>
      <c r="R38" s="801">
        <f t="shared" si="29"/>
        <v>246.82499999999999</v>
      </c>
      <c r="S38" s="801">
        <f t="shared" si="29"/>
        <v>197.46</v>
      </c>
      <c r="T38" s="835">
        <f t="shared" si="29"/>
        <v>148.09499999999997</v>
      </c>
      <c r="U38" s="835">
        <f t="shared" si="29"/>
        <v>98.73</v>
      </c>
      <c r="V38" s="835">
        <f t="shared" si="29"/>
        <v>0</v>
      </c>
      <c r="W38" s="835">
        <f t="shared" si="29"/>
        <v>0</v>
      </c>
    </row>
    <row r="39" spans="1:23" ht="18" customHeight="1">
      <c r="A39" s="789" t="s">
        <v>327</v>
      </c>
      <c r="B39" s="1141"/>
      <c r="C39" s="1116"/>
      <c r="D39" s="1107"/>
      <c r="E39" s="790" t="s">
        <v>287</v>
      </c>
      <c r="F39" s="802">
        <v>1</v>
      </c>
      <c r="G39" s="802">
        <f t="shared" ref="G39:W39" si="30">IFERROR(F39,0)</f>
        <v>1</v>
      </c>
      <c r="H39" s="803">
        <f t="shared" si="30"/>
        <v>1</v>
      </c>
      <c r="I39" s="803">
        <f t="shared" si="30"/>
        <v>1</v>
      </c>
      <c r="J39" s="803">
        <f t="shared" si="30"/>
        <v>1</v>
      </c>
      <c r="K39" s="803">
        <f t="shared" si="30"/>
        <v>1</v>
      </c>
      <c r="L39" s="803">
        <f t="shared" si="30"/>
        <v>1</v>
      </c>
      <c r="M39" s="803">
        <f t="shared" si="30"/>
        <v>1</v>
      </c>
      <c r="N39" s="803">
        <f t="shared" si="30"/>
        <v>1</v>
      </c>
      <c r="O39" s="803">
        <f t="shared" si="30"/>
        <v>1</v>
      </c>
      <c r="P39" s="803">
        <f t="shared" si="30"/>
        <v>1</v>
      </c>
      <c r="Q39" s="803">
        <f t="shared" si="30"/>
        <v>1</v>
      </c>
      <c r="R39" s="803">
        <f t="shared" si="30"/>
        <v>1</v>
      </c>
      <c r="S39" s="803">
        <f t="shared" si="30"/>
        <v>1</v>
      </c>
      <c r="T39" s="836">
        <f t="shared" si="30"/>
        <v>1</v>
      </c>
      <c r="U39" s="836">
        <f t="shared" si="30"/>
        <v>1</v>
      </c>
      <c r="V39" s="836">
        <f t="shared" si="30"/>
        <v>1</v>
      </c>
      <c r="W39" s="836">
        <f t="shared" si="30"/>
        <v>1</v>
      </c>
    </row>
    <row r="40" spans="1:23" ht="18" customHeight="1">
      <c r="A40" s="799" t="s">
        <v>328</v>
      </c>
      <c r="B40" s="1141"/>
      <c r="C40" s="1116"/>
      <c r="D40" s="1107"/>
      <c r="E40" s="811" t="s">
        <v>289</v>
      </c>
      <c r="F40" s="800">
        <f>IFERROR(SUM(H40:W40),0)</f>
        <v>4936.5</v>
      </c>
      <c r="G40" s="800">
        <f>IFERROR(F40/(1+增值税适用税率),0)</f>
        <v>4528.899082568807</v>
      </c>
      <c r="H40" s="801">
        <f t="shared" ref="H40:W40" si="31">IFERROR(H38*H39,0)</f>
        <v>0</v>
      </c>
      <c r="I40" s="801">
        <f t="shared" si="31"/>
        <v>0</v>
      </c>
      <c r="J40" s="801">
        <f t="shared" si="31"/>
        <v>592.37999999999988</v>
      </c>
      <c r="K40" s="801">
        <f t="shared" si="31"/>
        <v>493.65</v>
      </c>
      <c r="L40" s="801">
        <f t="shared" si="31"/>
        <v>641.74500000000012</v>
      </c>
      <c r="M40" s="801">
        <f t="shared" si="31"/>
        <v>493.65</v>
      </c>
      <c r="N40" s="801">
        <f t="shared" si="31"/>
        <v>493.65</v>
      </c>
      <c r="O40" s="801">
        <f t="shared" si="31"/>
        <v>493.65</v>
      </c>
      <c r="P40" s="801">
        <f t="shared" si="31"/>
        <v>641.74500000000012</v>
      </c>
      <c r="Q40" s="801">
        <f t="shared" si="31"/>
        <v>394.92</v>
      </c>
      <c r="R40" s="801">
        <f t="shared" si="31"/>
        <v>246.82499999999999</v>
      </c>
      <c r="S40" s="801">
        <f t="shared" si="31"/>
        <v>197.46</v>
      </c>
      <c r="T40" s="835">
        <f t="shared" si="31"/>
        <v>148.09499999999997</v>
      </c>
      <c r="U40" s="835">
        <f t="shared" si="31"/>
        <v>98.73</v>
      </c>
      <c r="V40" s="835">
        <f t="shared" si="31"/>
        <v>0</v>
      </c>
      <c r="W40" s="835">
        <f t="shared" si="31"/>
        <v>0</v>
      </c>
    </row>
    <row r="41" spans="1:23" ht="18" customHeight="1">
      <c r="A41" s="789" t="s">
        <v>329</v>
      </c>
      <c r="B41" s="1141"/>
      <c r="C41" s="1116"/>
      <c r="D41" s="1107"/>
      <c r="E41" s="790" t="s">
        <v>291</v>
      </c>
      <c r="F41" s="802">
        <v>2.3E-2</v>
      </c>
      <c r="G41" s="802"/>
      <c r="H41" s="803"/>
      <c r="I41" s="803"/>
      <c r="J41" s="803"/>
      <c r="K41" s="803"/>
      <c r="L41" s="823"/>
      <c r="M41" s="823"/>
      <c r="N41" s="823" t="s">
        <v>320</v>
      </c>
      <c r="O41" s="823"/>
      <c r="P41" s="823"/>
      <c r="Q41" s="823"/>
      <c r="R41" s="823"/>
      <c r="S41" s="823"/>
      <c r="T41" s="837"/>
      <c r="U41" s="823"/>
      <c r="V41" s="823"/>
      <c r="W41" s="838"/>
    </row>
    <row r="42" spans="1:23" ht="18" customHeight="1">
      <c r="A42" s="799" t="s">
        <v>330</v>
      </c>
      <c r="B42" s="1141"/>
      <c r="C42" s="1116"/>
      <c r="D42" s="1107"/>
      <c r="E42" s="793" t="s">
        <v>293</v>
      </c>
      <c r="F42" s="800">
        <f>IFERROR(SUM(H42:W42),0)</f>
        <v>113.53949999999999</v>
      </c>
      <c r="G42" s="800"/>
      <c r="H42" s="801">
        <f t="shared" ref="H42:W42" si="32">IFERROR(H40*$F41,0)</f>
        <v>0</v>
      </c>
      <c r="I42" s="801">
        <f t="shared" si="32"/>
        <v>0</v>
      </c>
      <c r="J42" s="801">
        <f t="shared" si="32"/>
        <v>13.624739999999997</v>
      </c>
      <c r="K42" s="801">
        <f t="shared" si="32"/>
        <v>11.353949999999999</v>
      </c>
      <c r="L42" s="801">
        <f t="shared" si="32"/>
        <v>14.760135000000002</v>
      </c>
      <c r="M42" s="801">
        <f t="shared" si="32"/>
        <v>11.353949999999999</v>
      </c>
      <c r="N42" s="801">
        <f t="shared" si="32"/>
        <v>11.353949999999999</v>
      </c>
      <c r="O42" s="801">
        <f t="shared" si="32"/>
        <v>11.353949999999999</v>
      </c>
      <c r="P42" s="801">
        <f t="shared" si="32"/>
        <v>14.760135000000002</v>
      </c>
      <c r="Q42" s="801">
        <f t="shared" si="32"/>
        <v>9.0831599999999995</v>
      </c>
      <c r="R42" s="801">
        <f t="shared" si="32"/>
        <v>5.6769749999999997</v>
      </c>
      <c r="S42" s="801">
        <f t="shared" si="32"/>
        <v>4.5415799999999997</v>
      </c>
      <c r="T42" s="835">
        <f t="shared" si="32"/>
        <v>3.4061849999999994</v>
      </c>
      <c r="U42" s="835">
        <f t="shared" si="32"/>
        <v>2.2707899999999999</v>
      </c>
      <c r="V42" s="835">
        <f t="shared" si="32"/>
        <v>0</v>
      </c>
      <c r="W42" s="835">
        <f t="shared" si="32"/>
        <v>0</v>
      </c>
    </row>
    <row r="43" spans="1:23" ht="18" customHeight="1">
      <c r="A43" s="789" t="s">
        <v>331</v>
      </c>
      <c r="B43" s="1141"/>
      <c r="C43" s="1116"/>
      <c r="D43" s="1097" t="s">
        <v>249</v>
      </c>
      <c r="E43" s="790" t="s">
        <v>279</v>
      </c>
      <c r="F43" s="749">
        <f>IFERROR(规划指标!E44,0)</f>
        <v>550</v>
      </c>
      <c r="G43" s="749"/>
      <c r="H43" s="791">
        <f t="shared" ref="H43:W43" si="33">IFERROR($F43*H45,0)</f>
        <v>0</v>
      </c>
      <c r="I43" s="791">
        <f t="shared" si="33"/>
        <v>0</v>
      </c>
      <c r="J43" s="791">
        <f t="shared" si="33"/>
        <v>0</v>
      </c>
      <c r="K43" s="791">
        <f t="shared" si="33"/>
        <v>0</v>
      </c>
      <c r="L43" s="791">
        <f t="shared" si="33"/>
        <v>0</v>
      </c>
      <c r="M43" s="791">
        <f t="shared" si="33"/>
        <v>0</v>
      </c>
      <c r="N43" s="791">
        <f t="shared" si="33"/>
        <v>0</v>
      </c>
      <c r="O43" s="791">
        <f t="shared" si="33"/>
        <v>0</v>
      </c>
      <c r="P43" s="791">
        <f t="shared" si="33"/>
        <v>0</v>
      </c>
      <c r="Q43" s="791">
        <f t="shared" si="33"/>
        <v>0</v>
      </c>
      <c r="R43" s="791">
        <f t="shared" si="33"/>
        <v>550</v>
      </c>
      <c r="S43" s="791">
        <f t="shared" si="33"/>
        <v>0</v>
      </c>
      <c r="T43" s="831">
        <f t="shared" si="33"/>
        <v>0</v>
      </c>
      <c r="U43" s="831">
        <f t="shared" si="33"/>
        <v>0</v>
      </c>
      <c r="V43" s="831">
        <f t="shared" si="33"/>
        <v>0</v>
      </c>
      <c r="W43" s="831">
        <f t="shared" si="33"/>
        <v>0</v>
      </c>
    </row>
    <row r="44" spans="1:23" ht="18" customHeight="1">
      <c r="A44" s="792" t="s">
        <v>332</v>
      </c>
      <c r="B44" s="1141"/>
      <c r="C44" s="1116"/>
      <c r="D44" s="1098"/>
      <c r="E44" s="793" t="s">
        <v>281</v>
      </c>
      <c r="F44" s="794">
        <f>IFERROR(F48*10000/(F43*F45),0)</f>
        <v>10000</v>
      </c>
      <c r="G44" s="749" t="e">
        <f>#REF!+#REF!+#REF!+#REF!</f>
        <v>#REF!</v>
      </c>
      <c r="H44" s="795"/>
      <c r="I44" s="795"/>
      <c r="J44" s="795"/>
      <c r="K44" s="795"/>
      <c r="L44" s="824"/>
      <c r="M44" s="824"/>
      <c r="N44" s="824"/>
      <c r="O44" s="824"/>
      <c r="P44" s="824"/>
      <c r="Q44" s="824"/>
      <c r="R44" s="824">
        <v>10000</v>
      </c>
      <c r="S44" s="824">
        <v>10000</v>
      </c>
      <c r="T44" s="843">
        <f>S44</f>
        <v>10000</v>
      </c>
      <c r="U44" s="824">
        <f t="shared" ref="U44:W44" si="34">T44</f>
        <v>10000</v>
      </c>
      <c r="V44" s="824">
        <f t="shared" si="34"/>
        <v>10000</v>
      </c>
      <c r="W44" s="824">
        <f t="shared" si="34"/>
        <v>10000</v>
      </c>
    </row>
    <row r="45" spans="1:23" ht="18" customHeight="1">
      <c r="A45" s="792" t="s">
        <v>333</v>
      </c>
      <c r="B45" s="1141"/>
      <c r="C45" s="1116"/>
      <c r="D45" s="1098"/>
      <c r="E45" s="790" t="s">
        <v>283</v>
      </c>
      <c r="F45" s="805">
        <f>IFERROR(SUM(H45:W45),0)</f>
        <v>1</v>
      </c>
      <c r="G45" s="797"/>
      <c r="H45" s="798"/>
      <c r="I45" s="798"/>
      <c r="J45" s="798"/>
      <c r="K45" s="798"/>
      <c r="L45" s="822"/>
      <c r="M45" s="822"/>
      <c r="N45" s="822"/>
      <c r="O45" s="822"/>
      <c r="P45" s="822"/>
      <c r="Q45" s="822"/>
      <c r="R45" s="822">
        <v>1</v>
      </c>
      <c r="S45" s="822">
        <v>0</v>
      </c>
      <c r="T45" s="833"/>
      <c r="U45" s="822"/>
      <c r="V45" s="822"/>
      <c r="W45" s="834">
        <v>0</v>
      </c>
    </row>
    <row r="46" spans="1:23" ht="18" customHeight="1">
      <c r="A46" s="799" t="s">
        <v>334</v>
      </c>
      <c r="B46" s="1141"/>
      <c r="C46" s="1116"/>
      <c r="D46" s="1098"/>
      <c r="E46" s="811" t="s">
        <v>285</v>
      </c>
      <c r="F46" s="800">
        <f>IFERROR(SUM(H46:W46),0)</f>
        <v>550</v>
      </c>
      <c r="G46" s="800">
        <f>IFERROR(F46/(1+增值税适用税率),0)</f>
        <v>504.58715596330273</v>
      </c>
      <c r="H46" s="801">
        <f t="shared" ref="H46:W46" si="35">IFERROR(H44*H43/10000,0)</f>
        <v>0</v>
      </c>
      <c r="I46" s="801">
        <f t="shared" si="35"/>
        <v>0</v>
      </c>
      <c r="J46" s="801">
        <f t="shared" si="35"/>
        <v>0</v>
      </c>
      <c r="K46" s="801">
        <f t="shared" si="35"/>
        <v>0</v>
      </c>
      <c r="L46" s="801">
        <f t="shared" si="35"/>
        <v>0</v>
      </c>
      <c r="M46" s="801">
        <f t="shared" si="35"/>
        <v>0</v>
      </c>
      <c r="N46" s="801">
        <f t="shared" si="35"/>
        <v>0</v>
      </c>
      <c r="O46" s="801">
        <f t="shared" si="35"/>
        <v>0</v>
      </c>
      <c r="P46" s="801">
        <f t="shared" si="35"/>
        <v>0</v>
      </c>
      <c r="Q46" s="801">
        <f t="shared" si="35"/>
        <v>0</v>
      </c>
      <c r="R46" s="801">
        <f t="shared" si="35"/>
        <v>550</v>
      </c>
      <c r="S46" s="801">
        <f t="shared" si="35"/>
        <v>0</v>
      </c>
      <c r="T46" s="835">
        <f t="shared" si="35"/>
        <v>0</v>
      </c>
      <c r="U46" s="835">
        <f t="shared" si="35"/>
        <v>0</v>
      </c>
      <c r="V46" s="835">
        <f t="shared" si="35"/>
        <v>0</v>
      </c>
      <c r="W46" s="835">
        <f t="shared" si="35"/>
        <v>0</v>
      </c>
    </row>
    <row r="47" spans="1:23" ht="18" customHeight="1">
      <c r="A47" s="789" t="s">
        <v>335</v>
      </c>
      <c r="B47" s="1141"/>
      <c r="C47" s="1116"/>
      <c r="D47" s="1098"/>
      <c r="E47" s="790" t="s">
        <v>287</v>
      </c>
      <c r="F47" s="802">
        <v>1</v>
      </c>
      <c r="G47" s="802">
        <f t="shared" ref="G47:W47" si="36">IFERROR(F47,0)</f>
        <v>1</v>
      </c>
      <c r="H47" s="803">
        <f t="shared" si="36"/>
        <v>1</v>
      </c>
      <c r="I47" s="803">
        <f t="shared" si="36"/>
        <v>1</v>
      </c>
      <c r="J47" s="803">
        <f t="shared" si="36"/>
        <v>1</v>
      </c>
      <c r="K47" s="803">
        <f t="shared" si="36"/>
        <v>1</v>
      </c>
      <c r="L47" s="803">
        <f t="shared" si="36"/>
        <v>1</v>
      </c>
      <c r="M47" s="803">
        <f t="shared" si="36"/>
        <v>1</v>
      </c>
      <c r="N47" s="803">
        <f t="shared" si="36"/>
        <v>1</v>
      </c>
      <c r="O47" s="803">
        <f t="shared" si="36"/>
        <v>1</v>
      </c>
      <c r="P47" s="803">
        <f t="shared" si="36"/>
        <v>1</v>
      </c>
      <c r="Q47" s="803">
        <f t="shared" si="36"/>
        <v>1</v>
      </c>
      <c r="R47" s="803">
        <f t="shared" si="36"/>
        <v>1</v>
      </c>
      <c r="S47" s="803">
        <f t="shared" si="36"/>
        <v>1</v>
      </c>
      <c r="T47" s="836">
        <f t="shared" si="36"/>
        <v>1</v>
      </c>
      <c r="U47" s="836">
        <f t="shared" si="36"/>
        <v>1</v>
      </c>
      <c r="V47" s="836">
        <f t="shared" si="36"/>
        <v>1</v>
      </c>
      <c r="W47" s="836">
        <f t="shared" si="36"/>
        <v>1</v>
      </c>
    </row>
    <row r="48" spans="1:23" ht="18" customHeight="1">
      <c r="A48" s="799" t="s">
        <v>336</v>
      </c>
      <c r="B48" s="1141"/>
      <c r="C48" s="1116"/>
      <c r="D48" s="1098"/>
      <c r="E48" s="811" t="s">
        <v>289</v>
      </c>
      <c r="F48" s="800">
        <f>IFERROR(SUM(H48:W48),0)</f>
        <v>550</v>
      </c>
      <c r="G48" s="800">
        <f>IFERROR(F48/(1+增值税适用税率),0)</f>
        <v>504.58715596330273</v>
      </c>
      <c r="H48" s="801">
        <f t="shared" ref="H48:W48" si="37">IFERROR(H46*H47,0)</f>
        <v>0</v>
      </c>
      <c r="I48" s="801">
        <f t="shared" si="37"/>
        <v>0</v>
      </c>
      <c r="J48" s="801">
        <f t="shared" si="37"/>
        <v>0</v>
      </c>
      <c r="K48" s="801">
        <f t="shared" si="37"/>
        <v>0</v>
      </c>
      <c r="L48" s="801">
        <f t="shared" si="37"/>
        <v>0</v>
      </c>
      <c r="M48" s="801">
        <f t="shared" si="37"/>
        <v>0</v>
      </c>
      <c r="N48" s="801">
        <f t="shared" si="37"/>
        <v>0</v>
      </c>
      <c r="O48" s="801">
        <f t="shared" si="37"/>
        <v>0</v>
      </c>
      <c r="P48" s="801">
        <f t="shared" si="37"/>
        <v>0</v>
      </c>
      <c r="Q48" s="801">
        <f t="shared" si="37"/>
        <v>0</v>
      </c>
      <c r="R48" s="801">
        <f t="shared" si="37"/>
        <v>550</v>
      </c>
      <c r="S48" s="801">
        <f t="shared" si="37"/>
        <v>0</v>
      </c>
      <c r="T48" s="835">
        <f t="shared" si="37"/>
        <v>0</v>
      </c>
      <c r="U48" s="835">
        <f t="shared" si="37"/>
        <v>0</v>
      </c>
      <c r="V48" s="835">
        <f t="shared" si="37"/>
        <v>0</v>
      </c>
      <c r="W48" s="835">
        <f t="shared" si="37"/>
        <v>0</v>
      </c>
    </row>
    <row r="49" spans="1:23" ht="18" customHeight="1">
      <c r="A49" s="789" t="s">
        <v>337</v>
      </c>
      <c r="B49" s="1141"/>
      <c r="C49" s="1116"/>
      <c r="D49" s="1098"/>
      <c r="E49" s="790" t="s">
        <v>291</v>
      </c>
      <c r="F49" s="802">
        <v>2.3E-2</v>
      </c>
      <c r="G49" s="802"/>
      <c r="H49" s="803"/>
      <c r="I49" s="803"/>
      <c r="J49" s="803"/>
      <c r="K49" s="803"/>
      <c r="L49" s="823"/>
      <c r="M49" s="823"/>
      <c r="N49" s="823" t="s">
        <v>320</v>
      </c>
      <c r="O49" s="823"/>
      <c r="P49" s="823"/>
      <c r="Q49" s="823"/>
      <c r="R49" s="823"/>
      <c r="S49" s="823"/>
      <c r="T49" s="837"/>
      <c r="U49" s="823"/>
      <c r="V49" s="823"/>
      <c r="W49" s="838"/>
    </row>
    <row r="50" spans="1:23" ht="18" customHeight="1">
      <c r="A50" s="799" t="s">
        <v>338</v>
      </c>
      <c r="B50" s="1141"/>
      <c r="C50" s="1116"/>
      <c r="D50" s="1098"/>
      <c r="E50" s="793" t="s">
        <v>293</v>
      </c>
      <c r="F50" s="800">
        <f>IFERROR(SUM(H50:W50),0)</f>
        <v>12.65</v>
      </c>
      <c r="G50" s="800"/>
      <c r="H50" s="801">
        <f t="shared" ref="H50:W50" si="38">IFERROR(H48*$F49,0)</f>
        <v>0</v>
      </c>
      <c r="I50" s="801">
        <f t="shared" si="38"/>
        <v>0</v>
      </c>
      <c r="J50" s="801">
        <f t="shared" si="38"/>
        <v>0</v>
      </c>
      <c r="K50" s="801">
        <f t="shared" si="38"/>
        <v>0</v>
      </c>
      <c r="L50" s="801">
        <f t="shared" si="38"/>
        <v>0</v>
      </c>
      <c r="M50" s="801">
        <f t="shared" si="38"/>
        <v>0</v>
      </c>
      <c r="N50" s="801">
        <f t="shared" si="38"/>
        <v>0</v>
      </c>
      <c r="O50" s="801">
        <f t="shared" si="38"/>
        <v>0</v>
      </c>
      <c r="P50" s="801">
        <f t="shared" si="38"/>
        <v>0</v>
      </c>
      <c r="Q50" s="801">
        <f t="shared" si="38"/>
        <v>0</v>
      </c>
      <c r="R50" s="801">
        <f t="shared" si="38"/>
        <v>12.65</v>
      </c>
      <c r="S50" s="801">
        <f t="shared" si="38"/>
        <v>0</v>
      </c>
      <c r="T50" s="835">
        <f t="shared" si="38"/>
        <v>0</v>
      </c>
      <c r="U50" s="835">
        <f t="shared" si="38"/>
        <v>0</v>
      </c>
      <c r="V50" s="835">
        <f t="shared" si="38"/>
        <v>0</v>
      </c>
      <c r="W50" s="835">
        <f t="shared" si="38"/>
        <v>0</v>
      </c>
    </row>
    <row r="51" spans="1:23" ht="18" customHeight="1">
      <c r="A51" s="789" t="s">
        <v>339</v>
      </c>
      <c r="B51" s="1141"/>
      <c r="C51" s="1116"/>
      <c r="D51" s="1099" t="s">
        <v>340</v>
      </c>
      <c r="E51" s="790" t="s">
        <v>341</v>
      </c>
      <c r="F51" s="807">
        <f>IFERROR(F27+F35+F43,0)</f>
        <v>4486.5</v>
      </c>
      <c r="G51" s="807"/>
      <c r="H51" s="791">
        <f t="shared" ref="H51:W51" si="39">IFERROR(H27+H35+H43,0)</f>
        <v>0</v>
      </c>
      <c r="I51" s="791">
        <f t="shared" si="39"/>
        <v>0</v>
      </c>
      <c r="J51" s="791">
        <f t="shared" si="39"/>
        <v>131.63999999999999</v>
      </c>
      <c r="K51" s="791">
        <f t="shared" si="39"/>
        <v>109.7</v>
      </c>
      <c r="L51" s="791">
        <f t="shared" si="39"/>
        <v>142.61000000000001</v>
      </c>
      <c r="M51" s="791">
        <f t="shared" si="39"/>
        <v>251.67500000000001</v>
      </c>
      <c r="N51" s="791">
        <f t="shared" si="39"/>
        <v>251.67500000000001</v>
      </c>
      <c r="O51" s="791">
        <f t="shared" si="39"/>
        <v>251.67500000000001</v>
      </c>
      <c r="P51" s="791">
        <f t="shared" si="39"/>
        <v>284.58500000000004</v>
      </c>
      <c r="Q51" s="791">
        <f t="shared" si="39"/>
        <v>229.73500000000001</v>
      </c>
      <c r="R51" s="791">
        <f t="shared" si="39"/>
        <v>1030.7749999999999</v>
      </c>
      <c r="S51" s="791">
        <f t="shared" si="39"/>
        <v>469.80499999999989</v>
      </c>
      <c r="T51" s="831">
        <f t="shared" si="39"/>
        <v>458.83499999999992</v>
      </c>
      <c r="U51" s="831">
        <f t="shared" si="39"/>
        <v>447.8649999999999</v>
      </c>
      <c r="V51" s="831">
        <f t="shared" si="39"/>
        <v>283.95</v>
      </c>
      <c r="W51" s="831">
        <f t="shared" si="39"/>
        <v>141.97499999999999</v>
      </c>
    </row>
    <row r="52" spans="1:23" ht="18" customHeight="1">
      <c r="A52" s="799" t="s">
        <v>342</v>
      </c>
      <c r="B52" s="1141"/>
      <c r="C52" s="1116"/>
      <c r="D52" s="1099"/>
      <c r="E52" s="793" t="s">
        <v>343</v>
      </c>
      <c r="F52" s="794">
        <f>IFERROR(F53/F51*10000,0)</f>
        <v>16026.301125599019</v>
      </c>
      <c r="G52" s="794"/>
      <c r="H52" s="808">
        <f t="shared" ref="H52:W52" si="40">IFERROR(H53/H51*10000,0)</f>
        <v>0</v>
      </c>
      <c r="I52" s="808">
        <f t="shared" si="40"/>
        <v>0</v>
      </c>
      <c r="J52" s="808">
        <f t="shared" si="40"/>
        <v>45000</v>
      </c>
      <c r="K52" s="808">
        <f t="shared" si="40"/>
        <v>45000</v>
      </c>
      <c r="L52" s="808">
        <f t="shared" si="40"/>
        <v>45000</v>
      </c>
      <c r="M52" s="808">
        <f t="shared" si="40"/>
        <v>22999.304658786132</v>
      </c>
      <c r="N52" s="808">
        <f t="shared" si="40"/>
        <v>22999.304658786132</v>
      </c>
      <c r="O52" s="808">
        <f t="shared" si="40"/>
        <v>22999.304658786132</v>
      </c>
      <c r="P52" s="808">
        <f t="shared" si="40"/>
        <v>25543.510726145087</v>
      </c>
      <c r="Q52" s="808">
        <f t="shared" si="40"/>
        <v>20898.208805797985</v>
      </c>
      <c r="R52" s="808">
        <f t="shared" si="40"/>
        <v>10209.599573136718</v>
      </c>
      <c r="S52" s="808">
        <f t="shared" si="40"/>
        <v>9642.6176818041549</v>
      </c>
      <c r="T52" s="841">
        <f t="shared" si="40"/>
        <v>8797.2800679982993</v>
      </c>
      <c r="U52" s="841">
        <f t="shared" si="40"/>
        <v>7910.5310752123978</v>
      </c>
      <c r="V52" s="841">
        <f t="shared" si="40"/>
        <v>6000.0000000000009</v>
      </c>
      <c r="W52" s="841">
        <f t="shared" si="40"/>
        <v>6000.0000000000009</v>
      </c>
    </row>
    <row r="53" spans="1:23" ht="18" customHeight="1">
      <c r="A53" s="789" t="s">
        <v>344</v>
      </c>
      <c r="B53" s="1141"/>
      <c r="C53" s="1116"/>
      <c r="D53" s="1099"/>
      <c r="E53" s="790" t="s">
        <v>345</v>
      </c>
      <c r="F53" s="809">
        <f>IFERROR(F30+F38+F46,0)</f>
        <v>7190.2</v>
      </c>
      <c r="G53" s="809"/>
      <c r="H53" s="810">
        <f t="shared" ref="H53:W53" si="41">IFERROR(H30+H38+H46,0)</f>
        <v>0</v>
      </c>
      <c r="I53" s="810">
        <f t="shared" si="41"/>
        <v>0</v>
      </c>
      <c r="J53" s="810">
        <f t="shared" si="41"/>
        <v>592.37999999999988</v>
      </c>
      <c r="K53" s="810">
        <f t="shared" si="41"/>
        <v>493.65</v>
      </c>
      <c r="L53" s="810">
        <f t="shared" si="41"/>
        <v>641.74500000000012</v>
      </c>
      <c r="M53" s="810">
        <f t="shared" si="41"/>
        <v>578.83500000000004</v>
      </c>
      <c r="N53" s="810">
        <f t="shared" si="41"/>
        <v>578.83500000000004</v>
      </c>
      <c r="O53" s="810">
        <f t="shared" si="41"/>
        <v>578.83500000000004</v>
      </c>
      <c r="P53" s="810">
        <f t="shared" si="41"/>
        <v>726.93000000000006</v>
      </c>
      <c r="Q53" s="810">
        <f t="shared" si="41"/>
        <v>480.10500000000002</v>
      </c>
      <c r="R53" s="810">
        <f t="shared" si="41"/>
        <v>1052.3799999999999</v>
      </c>
      <c r="S53" s="810">
        <f t="shared" si="41"/>
        <v>453.01499999999999</v>
      </c>
      <c r="T53" s="842">
        <f t="shared" si="41"/>
        <v>403.64999999999992</v>
      </c>
      <c r="U53" s="842">
        <f t="shared" si="41"/>
        <v>354.28499999999997</v>
      </c>
      <c r="V53" s="842">
        <f t="shared" si="41"/>
        <v>170.37</v>
      </c>
      <c r="W53" s="842">
        <f t="shared" si="41"/>
        <v>85.185000000000002</v>
      </c>
    </row>
    <row r="54" spans="1:23" ht="18" customHeight="1">
      <c r="A54" s="799" t="s">
        <v>346</v>
      </c>
      <c r="B54" s="1141"/>
      <c r="C54" s="1116"/>
      <c r="D54" s="1099"/>
      <c r="E54" s="793" t="s">
        <v>347</v>
      </c>
      <c r="F54" s="800">
        <f>IFERROR(SUM(H54:W54),0)</f>
        <v>7190.2000000000007</v>
      </c>
      <c r="G54" s="800">
        <f>IFERROR(F54/(1+增值税适用税率),0)</f>
        <v>6596.5137614678897</v>
      </c>
      <c r="H54" s="801">
        <f t="shared" ref="H54:W54" si="42">IFERROR(H32+H40+H48,0)</f>
        <v>0</v>
      </c>
      <c r="I54" s="801">
        <f t="shared" si="42"/>
        <v>0</v>
      </c>
      <c r="J54" s="801">
        <f t="shared" si="42"/>
        <v>592.37999999999988</v>
      </c>
      <c r="K54" s="801">
        <f t="shared" si="42"/>
        <v>493.65</v>
      </c>
      <c r="L54" s="801">
        <f t="shared" si="42"/>
        <v>641.74500000000012</v>
      </c>
      <c r="M54" s="801">
        <f t="shared" si="42"/>
        <v>578.83500000000004</v>
      </c>
      <c r="N54" s="801">
        <f t="shared" si="42"/>
        <v>578.83500000000004</v>
      </c>
      <c r="O54" s="801">
        <f t="shared" si="42"/>
        <v>578.83500000000004</v>
      </c>
      <c r="P54" s="801">
        <f t="shared" si="42"/>
        <v>726.93000000000006</v>
      </c>
      <c r="Q54" s="801">
        <f t="shared" si="42"/>
        <v>480.10500000000002</v>
      </c>
      <c r="R54" s="801">
        <f t="shared" si="42"/>
        <v>1052.3799999999999</v>
      </c>
      <c r="S54" s="801">
        <f t="shared" si="42"/>
        <v>453.01499999999999</v>
      </c>
      <c r="T54" s="835">
        <f t="shared" si="42"/>
        <v>403.64999999999992</v>
      </c>
      <c r="U54" s="835">
        <f t="shared" si="42"/>
        <v>354.28499999999997</v>
      </c>
      <c r="V54" s="835">
        <f t="shared" si="42"/>
        <v>170.37</v>
      </c>
      <c r="W54" s="835">
        <f t="shared" si="42"/>
        <v>85.185000000000002</v>
      </c>
    </row>
    <row r="55" spans="1:23" ht="18" customHeight="1">
      <c r="A55" s="812" t="s">
        <v>348</v>
      </c>
      <c r="B55" s="1141"/>
      <c r="C55" s="1106" t="s">
        <v>349</v>
      </c>
      <c r="D55" s="1106"/>
      <c r="E55" s="790" t="s">
        <v>350</v>
      </c>
      <c r="F55" s="807">
        <f>IFERROR(F23+F51,0)</f>
        <v>110099.936</v>
      </c>
      <c r="G55" s="807"/>
      <c r="H55" s="791">
        <f t="shared" ref="H55:W55" si="43">IFERROR(H23+H51,0)</f>
        <v>0</v>
      </c>
      <c r="I55" s="791">
        <f t="shared" si="43"/>
        <v>0</v>
      </c>
      <c r="J55" s="791">
        <f t="shared" si="43"/>
        <v>12805.25232</v>
      </c>
      <c r="K55" s="791">
        <f t="shared" si="43"/>
        <v>10671.043600000001</v>
      </c>
      <c r="L55" s="791">
        <f t="shared" si="43"/>
        <v>13872.356680000001</v>
      </c>
      <c r="M55" s="791">
        <f t="shared" si="43"/>
        <v>10813.018599999999</v>
      </c>
      <c r="N55" s="791">
        <f t="shared" si="43"/>
        <v>10813.018599999999</v>
      </c>
      <c r="O55" s="791">
        <f t="shared" si="43"/>
        <v>10813.018599999999</v>
      </c>
      <c r="P55" s="791">
        <f t="shared" si="43"/>
        <v>14014.331679999999</v>
      </c>
      <c r="Q55" s="791">
        <f t="shared" si="43"/>
        <v>8678.8098800000007</v>
      </c>
      <c r="R55" s="791">
        <f t="shared" si="43"/>
        <v>6311.4467999999997</v>
      </c>
      <c r="S55" s="791">
        <f t="shared" si="43"/>
        <v>4694.3424400000004</v>
      </c>
      <c r="T55" s="831">
        <f t="shared" si="43"/>
        <v>3627.2380800000001</v>
      </c>
      <c r="U55" s="831">
        <f t="shared" si="43"/>
        <v>2560.1337199999998</v>
      </c>
      <c r="V55" s="831">
        <f t="shared" si="43"/>
        <v>283.95</v>
      </c>
      <c r="W55" s="831">
        <f t="shared" si="43"/>
        <v>141.97499999999999</v>
      </c>
    </row>
    <row r="56" spans="1:23" ht="18" customHeight="1">
      <c r="A56" s="799" t="s">
        <v>351</v>
      </c>
      <c r="B56" s="1141"/>
      <c r="C56" s="1106"/>
      <c r="D56" s="1106"/>
      <c r="E56" s="793" t="s">
        <v>352</v>
      </c>
      <c r="F56" s="794">
        <f>IFERROR(F57/F55*10000,0)</f>
        <v>43819.340821415193</v>
      </c>
      <c r="G56" s="794"/>
      <c r="H56" s="808">
        <f t="shared" ref="H56:W56" si="44">IFERROR(H57/H55*10000,0)</f>
        <v>0</v>
      </c>
      <c r="I56" s="808">
        <f t="shared" si="44"/>
        <v>0</v>
      </c>
      <c r="J56" s="808">
        <f t="shared" si="44"/>
        <v>44999.999999999993</v>
      </c>
      <c r="K56" s="808">
        <f t="shared" si="44"/>
        <v>45000</v>
      </c>
      <c r="L56" s="808">
        <f t="shared" si="44"/>
        <v>45000</v>
      </c>
      <c r="M56" s="808">
        <f t="shared" si="44"/>
        <v>44487.929762739899</v>
      </c>
      <c r="N56" s="808">
        <f t="shared" si="44"/>
        <v>44487.929762739899</v>
      </c>
      <c r="O56" s="808">
        <f t="shared" si="44"/>
        <v>44487.929762739899</v>
      </c>
      <c r="P56" s="808">
        <f t="shared" si="44"/>
        <v>44604.902672033815</v>
      </c>
      <c r="Q56" s="808">
        <f t="shared" si="44"/>
        <v>44362.00641832703</v>
      </c>
      <c r="R56" s="808">
        <f t="shared" si="44"/>
        <v>39318.089633584495</v>
      </c>
      <c r="S56" s="808">
        <f t="shared" si="44"/>
        <v>41461.469265970292</v>
      </c>
      <c r="T56" s="841">
        <f t="shared" si="44"/>
        <v>40420.461895900691</v>
      </c>
      <c r="U56" s="841">
        <f t="shared" si="44"/>
        <v>38511.637743672232</v>
      </c>
      <c r="V56" s="841">
        <f t="shared" si="44"/>
        <v>6000.0000000000009</v>
      </c>
      <c r="W56" s="841">
        <f t="shared" si="44"/>
        <v>6000.0000000000009</v>
      </c>
    </row>
    <row r="57" spans="1:23" ht="18" customHeight="1">
      <c r="A57" s="789" t="s">
        <v>353</v>
      </c>
      <c r="B57" s="1141"/>
      <c r="C57" s="1106"/>
      <c r="D57" s="1106"/>
      <c r="E57" s="790" t="s">
        <v>354</v>
      </c>
      <c r="F57" s="809">
        <f>IFERROR(SUM(H57:W57),0)</f>
        <v>482450.66200000007</v>
      </c>
      <c r="G57" s="809"/>
      <c r="H57" s="810">
        <f t="shared" ref="H57:W57" si="45">IFERROR(H25+H53,0)</f>
        <v>0</v>
      </c>
      <c r="I57" s="810">
        <f t="shared" si="45"/>
        <v>0</v>
      </c>
      <c r="J57" s="810">
        <f t="shared" si="45"/>
        <v>57623.635439999991</v>
      </c>
      <c r="K57" s="810">
        <f t="shared" si="45"/>
        <v>48019.696200000006</v>
      </c>
      <c r="L57" s="810">
        <f t="shared" si="45"/>
        <v>62425.605060000009</v>
      </c>
      <c r="M57" s="810">
        <f t="shared" si="45"/>
        <v>48104.881200000003</v>
      </c>
      <c r="N57" s="810">
        <f t="shared" si="45"/>
        <v>48104.881200000003</v>
      </c>
      <c r="O57" s="810">
        <f t="shared" si="45"/>
        <v>48104.881200000003</v>
      </c>
      <c r="P57" s="810">
        <f t="shared" si="45"/>
        <v>62510.790060000007</v>
      </c>
      <c r="Q57" s="810">
        <f t="shared" si="45"/>
        <v>38500.941960000004</v>
      </c>
      <c r="R57" s="810">
        <f t="shared" si="45"/>
        <v>24815.403100000003</v>
      </c>
      <c r="S57" s="810">
        <f t="shared" si="45"/>
        <v>19463.43348</v>
      </c>
      <c r="T57" s="842">
        <f t="shared" si="45"/>
        <v>14661.463859999998</v>
      </c>
      <c r="U57" s="842">
        <f t="shared" si="45"/>
        <v>9859.49424</v>
      </c>
      <c r="V57" s="842">
        <f t="shared" si="45"/>
        <v>170.37</v>
      </c>
      <c r="W57" s="842">
        <f t="shared" si="45"/>
        <v>85.185000000000002</v>
      </c>
    </row>
    <row r="58" spans="1:23" ht="18" customHeight="1">
      <c r="A58" s="813" t="s">
        <v>355</v>
      </c>
      <c r="B58" s="1141"/>
      <c r="C58" s="1106"/>
      <c r="D58" s="1106"/>
      <c r="E58" s="793" t="s">
        <v>356</v>
      </c>
      <c r="F58" s="800">
        <f>IFERROR(SUM(H58:W58),0)</f>
        <v>482450.66200000007</v>
      </c>
      <c r="G58" s="800">
        <f>IFERROR(F58/(1+增值税适用税率),0)</f>
        <v>442615.28623853216</v>
      </c>
      <c r="H58" s="801">
        <f t="shared" ref="H58:W58" si="46">IFERROR(H26+H54,0)</f>
        <v>0</v>
      </c>
      <c r="I58" s="801">
        <f t="shared" si="46"/>
        <v>0</v>
      </c>
      <c r="J58" s="801">
        <f t="shared" si="46"/>
        <v>23404.882176000003</v>
      </c>
      <c r="K58" s="801">
        <f t="shared" si="46"/>
        <v>19504.068480000005</v>
      </c>
      <c r="L58" s="801">
        <f t="shared" si="46"/>
        <v>25355.289024000002</v>
      </c>
      <c r="M58" s="801">
        <f t="shared" si="46"/>
        <v>147909.57822</v>
      </c>
      <c r="N58" s="801">
        <f t="shared" si="46"/>
        <v>48104.881200000003</v>
      </c>
      <c r="O58" s="801">
        <f t="shared" si="46"/>
        <v>48104.881200000003</v>
      </c>
      <c r="P58" s="801">
        <f t="shared" si="46"/>
        <v>62510.790060000007</v>
      </c>
      <c r="Q58" s="801">
        <f t="shared" si="46"/>
        <v>38500.941960000004</v>
      </c>
      <c r="R58" s="801">
        <f t="shared" si="46"/>
        <v>24815.403100000003</v>
      </c>
      <c r="S58" s="801">
        <f t="shared" si="46"/>
        <v>19463.43348</v>
      </c>
      <c r="T58" s="835">
        <f t="shared" si="46"/>
        <v>14661.463859999998</v>
      </c>
      <c r="U58" s="835">
        <f t="shared" si="46"/>
        <v>9859.49424</v>
      </c>
      <c r="V58" s="835">
        <f t="shared" si="46"/>
        <v>170.37</v>
      </c>
      <c r="W58" s="835">
        <f t="shared" si="46"/>
        <v>85.185000000000002</v>
      </c>
    </row>
    <row r="59" spans="1:23" ht="18" customHeight="1">
      <c r="A59" s="812" t="s">
        <v>357</v>
      </c>
      <c r="B59" s="1141"/>
      <c r="C59" s="1106"/>
      <c r="D59" s="1106"/>
      <c r="E59" s="790" t="s">
        <v>293</v>
      </c>
      <c r="F59" s="809">
        <f>IFERROR(SUM(H59:W59),0)</f>
        <v>11096.365226000002</v>
      </c>
      <c r="G59" s="809"/>
      <c r="H59" s="810">
        <f t="shared" ref="H59:W59" si="47">IFERROR(H13+H21+H34+H42+H50,0)</f>
        <v>0</v>
      </c>
      <c r="I59" s="810">
        <f t="shared" si="47"/>
        <v>0</v>
      </c>
      <c r="J59" s="810">
        <f t="shared" si="47"/>
        <v>538.31229004800002</v>
      </c>
      <c r="K59" s="810">
        <f t="shared" si="47"/>
        <v>448.59357504000008</v>
      </c>
      <c r="L59" s="810">
        <f t="shared" si="47"/>
        <v>583.17164755200008</v>
      </c>
      <c r="M59" s="810">
        <f t="shared" si="47"/>
        <v>3401.9202990600006</v>
      </c>
      <c r="N59" s="810">
        <f t="shared" si="47"/>
        <v>1106.4122676000002</v>
      </c>
      <c r="O59" s="810">
        <f t="shared" si="47"/>
        <v>1106.4122676000002</v>
      </c>
      <c r="P59" s="810">
        <f t="shared" si="47"/>
        <v>1437.74817138</v>
      </c>
      <c r="Q59" s="810">
        <f t="shared" si="47"/>
        <v>885.52166508000005</v>
      </c>
      <c r="R59" s="810">
        <f t="shared" si="47"/>
        <v>570.75427130000003</v>
      </c>
      <c r="S59" s="810">
        <f t="shared" si="47"/>
        <v>447.65897004000004</v>
      </c>
      <c r="T59" s="842">
        <f t="shared" si="47"/>
        <v>337.21366877999998</v>
      </c>
      <c r="U59" s="842">
        <f t="shared" si="47"/>
        <v>226.76836752000003</v>
      </c>
      <c r="V59" s="842">
        <f t="shared" si="47"/>
        <v>3.9185099999999999</v>
      </c>
      <c r="W59" s="842">
        <f t="shared" si="47"/>
        <v>1.959255</v>
      </c>
    </row>
    <row r="60" spans="1:23" ht="18" customHeight="1">
      <c r="A60" s="813" t="s">
        <v>358</v>
      </c>
      <c r="B60" s="1142"/>
      <c r="C60" s="1117" t="s">
        <v>359</v>
      </c>
      <c r="D60" s="1099" t="s">
        <v>360</v>
      </c>
      <c r="E60" s="793" t="s">
        <v>115</v>
      </c>
      <c r="F60" s="794">
        <f>IFERROR(规划指标!E56,0)</f>
        <v>504.8</v>
      </c>
      <c r="G60" s="749"/>
      <c r="H60" s="808">
        <f t="shared" ref="H60:W60" si="48">IFERROR($F60*H62,0)</f>
        <v>0</v>
      </c>
      <c r="I60" s="808">
        <f t="shared" si="48"/>
        <v>0</v>
      </c>
      <c r="J60" s="808">
        <f t="shared" si="48"/>
        <v>0</v>
      </c>
      <c r="K60" s="808">
        <f t="shared" si="48"/>
        <v>0</v>
      </c>
      <c r="L60" s="808">
        <f t="shared" si="48"/>
        <v>0</v>
      </c>
      <c r="M60" s="808">
        <f t="shared" si="48"/>
        <v>25.240000000000002</v>
      </c>
      <c r="N60" s="808">
        <f t="shared" si="48"/>
        <v>25.240000000000002</v>
      </c>
      <c r="O60" s="808">
        <f t="shared" si="48"/>
        <v>25.240000000000002</v>
      </c>
      <c r="P60" s="808">
        <f t="shared" si="48"/>
        <v>25.240000000000002</v>
      </c>
      <c r="Q60" s="808">
        <f t="shared" si="48"/>
        <v>25.240000000000002</v>
      </c>
      <c r="R60" s="808">
        <f t="shared" si="48"/>
        <v>75.72</v>
      </c>
      <c r="S60" s="808">
        <f t="shared" si="48"/>
        <v>75.72</v>
      </c>
      <c r="T60" s="841">
        <f t="shared" si="48"/>
        <v>75.72</v>
      </c>
      <c r="U60" s="841">
        <f t="shared" si="48"/>
        <v>75.72</v>
      </c>
      <c r="V60" s="841">
        <f t="shared" si="48"/>
        <v>50.480000000000004</v>
      </c>
      <c r="W60" s="841">
        <f t="shared" si="48"/>
        <v>25.240000000000002</v>
      </c>
    </row>
    <row r="61" spans="1:23" ht="18" customHeight="1">
      <c r="A61" s="814" t="s">
        <v>361</v>
      </c>
      <c r="B61" s="1142"/>
      <c r="C61" s="1117"/>
      <c r="D61" s="1099"/>
      <c r="E61" s="790" t="s">
        <v>362</v>
      </c>
      <c r="F61" s="807">
        <f>IFERROR(F65/F60*10000,0)</f>
        <v>120000.00000000001</v>
      </c>
      <c r="G61" s="749" t="e">
        <f>#REF!+#REF!+#REF!+#REF!</f>
        <v>#REF!</v>
      </c>
      <c r="H61" s="795"/>
      <c r="I61" s="795"/>
      <c r="J61" s="795"/>
      <c r="K61" s="795"/>
      <c r="L61" s="824"/>
      <c r="M61" s="824">
        <f>N61</f>
        <v>120000</v>
      </c>
      <c r="N61" s="824">
        <v>120000</v>
      </c>
      <c r="O61" s="824">
        <f t="shared" ref="O61:W61" si="49">N61</f>
        <v>120000</v>
      </c>
      <c r="P61" s="824">
        <f t="shared" si="49"/>
        <v>120000</v>
      </c>
      <c r="Q61" s="824">
        <f t="shared" si="49"/>
        <v>120000</v>
      </c>
      <c r="R61" s="824">
        <f t="shared" si="49"/>
        <v>120000</v>
      </c>
      <c r="S61" s="824">
        <f t="shared" si="49"/>
        <v>120000</v>
      </c>
      <c r="T61" s="843">
        <f t="shared" si="49"/>
        <v>120000</v>
      </c>
      <c r="U61" s="824">
        <f t="shared" si="49"/>
        <v>120000</v>
      </c>
      <c r="V61" s="824">
        <f t="shared" si="49"/>
        <v>120000</v>
      </c>
      <c r="W61" s="824">
        <f t="shared" si="49"/>
        <v>120000</v>
      </c>
    </row>
    <row r="62" spans="1:23" ht="18" customHeight="1">
      <c r="A62" s="814" t="s">
        <v>363</v>
      </c>
      <c r="B62" s="1142"/>
      <c r="C62" s="1117"/>
      <c r="D62" s="1099"/>
      <c r="E62" s="793" t="s">
        <v>283</v>
      </c>
      <c r="F62" s="815">
        <f>IFERROR(SUM(H62:W62),0)</f>
        <v>1</v>
      </c>
      <c r="G62" s="797"/>
      <c r="H62" s="798"/>
      <c r="I62" s="798"/>
      <c r="J62" s="798"/>
      <c r="K62" s="798"/>
      <c r="L62" s="822"/>
      <c r="M62" s="822">
        <v>0.05</v>
      </c>
      <c r="N62" s="822">
        <v>0.05</v>
      </c>
      <c r="O62" s="822">
        <v>0.05</v>
      </c>
      <c r="P62" s="822">
        <v>0.05</v>
      </c>
      <c r="Q62" s="822">
        <v>0.05</v>
      </c>
      <c r="R62" s="822">
        <v>0.15</v>
      </c>
      <c r="S62" s="822">
        <v>0.15</v>
      </c>
      <c r="T62" s="833">
        <v>0.15</v>
      </c>
      <c r="U62" s="822">
        <v>0.15</v>
      </c>
      <c r="V62" s="822">
        <v>0.1</v>
      </c>
      <c r="W62" s="834">
        <v>0.05</v>
      </c>
    </row>
    <row r="63" spans="1:23" ht="18" customHeight="1">
      <c r="A63" s="812" t="s">
        <v>364</v>
      </c>
      <c r="B63" s="1142"/>
      <c r="C63" s="1117"/>
      <c r="D63" s="1099"/>
      <c r="E63" s="790" t="s">
        <v>285</v>
      </c>
      <c r="F63" s="809">
        <f>IFERROR(SUM(H63:W63),0)</f>
        <v>6057.6000000000013</v>
      </c>
      <c r="G63" s="809">
        <f>IFERROR(F63/(1+增值税适用税率),0)</f>
        <v>5557.4311926605515</v>
      </c>
      <c r="H63" s="810">
        <f t="shared" ref="H63:W63" si="50">IFERROR(H61*H60/10000,0)</f>
        <v>0</v>
      </c>
      <c r="I63" s="810">
        <f t="shared" si="50"/>
        <v>0</v>
      </c>
      <c r="J63" s="810">
        <f t="shared" si="50"/>
        <v>0</v>
      </c>
      <c r="K63" s="810">
        <f t="shared" si="50"/>
        <v>0</v>
      </c>
      <c r="L63" s="810">
        <f t="shared" si="50"/>
        <v>0</v>
      </c>
      <c r="M63" s="810">
        <f t="shared" si="50"/>
        <v>302.88000000000005</v>
      </c>
      <c r="N63" s="810">
        <f t="shared" si="50"/>
        <v>302.88000000000005</v>
      </c>
      <c r="O63" s="810">
        <f t="shared" si="50"/>
        <v>302.88000000000005</v>
      </c>
      <c r="P63" s="810">
        <f t="shared" si="50"/>
        <v>302.88000000000005</v>
      </c>
      <c r="Q63" s="810">
        <f t="shared" si="50"/>
        <v>302.88000000000005</v>
      </c>
      <c r="R63" s="810">
        <f t="shared" si="50"/>
        <v>908.64</v>
      </c>
      <c r="S63" s="810">
        <f t="shared" si="50"/>
        <v>908.64</v>
      </c>
      <c r="T63" s="842">
        <f t="shared" si="50"/>
        <v>908.64</v>
      </c>
      <c r="U63" s="842">
        <f t="shared" si="50"/>
        <v>908.64</v>
      </c>
      <c r="V63" s="842">
        <f t="shared" si="50"/>
        <v>605.7600000000001</v>
      </c>
      <c r="W63" s="842">
        <f t="shared" si="50"/>
        <v>302.88000000000005</v>
      </c>
    </row>
    <row r="64" spans="1:23" ht="18" customHeight="1">
      <c r="A64" s="813" t="s">
        <v>365</v>
      </c>
      <c r="B64" s="1142"/>
      <c r="C64" s="1117"/>
      <c r="D64" s="1099"/>
      <c r="E64" s="793" t="s">
        <v>287</v>
      </c>
      <c r="F64" s="816">
        <v>1</v>
      </c>
      <c r="G64" s="816">
        <f t="shared" ref="G64:W64" si="51">IFERROR(F64,0)</f>
        <v>1</v>
      </c>
      <c r="H64" s="817">
        <f t="shared" si="51"/>
        <v>1</v>
      </c>
      <c r="I64" s="817">
        <f t="shared" si="51"/>
        <v>1</v>
      </c>
      <c r="J64" s="817">
        <f t="shared" si="51"/>
        <v>1</v>
      </c>
      <c r="K64" s="817">
        <f t="shared" si="51"/>
        <v>1</v>
      </c>
      <c r="L64" s="817">
        <f t="shared" si="51"/>
        <v>1</v>
      </c>
      <c r="M64" s="817">
        <f t="shared" si="51"/>
        <v>1</v>
      </c>
      <c r="N64" s="817">
        <f t="shared" si="51"/>
        <v>1</v>
      </c>
      <c r="O64" s="817">
        <f t="shared" si="51"/>
        <v>1</v>
      </c>
      <c r="P64" s="817">
        <f t="shared" si="51"/>
        <v>1</v>
      </c>
      <c r="Q64" s="817">
        <f t="shared" si="51"/>
        <v>1</v>
      </c>
      <c r="R64" s="817">
        <f t="shared" si="51"/>
        <v>1</v>
      </c>
      <c r="S64" s="817">
        <f t="shared" si="51"/>
        <v>1</v>
      </c>
      <c r="T64" s="840">
        <f t="shared" si="51"/>
        <v>1</v>
      </c>
      <c r="U64" s="840">
        <f t="shared" si="51"/>
        <v>1</v>
      </c>
      <c r="V64" s="840">
        <f t="shared" si="51"/>
        <v>1</v>
      </c>
      <c r="W64" s="840">
        <f t="shared" si="51"/>
        <v>1</v>
      </c>
    </row>
    <row r="65" spans="1:23" ht="18" customHeight="1">
      <c r="A65" s="812" t="s">
        <v>366</v>
      </c>
      <c r="B65" s="1142"/>
      <c r="C65" s="1117"/>
      <c r="D65" s="1099"/>
      <c r="E65" s="790" t="s">
        <v>289</v>
      </c>
      <c r="F65" s="809">
        <f>IFERROR(SUM(H65:W65),0)</f>
        <v>6057.6000000000013</v>
      </c>
      <c r="G65" s="809">
        <f>IFERROR(F65/(1+增值税适用税率),0)</f>
        <v>5557.4311926605515</v>
      </c>
      <c r="H65" s="810">
        <f t="shared" ref="H65:W65" si="52">IFERROR(H63*H64,0)</f>
        <v>0</v>
      </c>
      <c r="I65" s="810">
        <f t="shared" si="52"/>
        <v>0</v>
      </c>
      <c r="J65" s="810">
        <f t="shared" si="52"/>
        <v>0</v>
      </c>
      <c r="K65" s="810">
        <f t="shared" si="52"/>
        <v>0</v>
      </c>
      <c r="L65" s="810">
        <f t="shared" si="52"/>
        <v>0</v>
      </c>
      <c r="M65" s="810">
        <f t="shared" si="52"/>
        <v>302.88000000000005</v>
      </c>
      <c r="N65" s="810">
        <f t="shared" si="52"/>
        <v>302.88000000000005</v>
      </c>
      <c r="O65" s="810">
        <f t="shared" si="52"/>
        <v>302.88000000000005</v>
      </c>
      <c r="P65" s="810">
        <f t="shared" si="52"/>
        <v>302.88000000000005</v>
      </c>
      <c r="Q65" s="810">
        <f t="shared" si="52"/>
        <v>302.88000000000005</v>
      </c>
      <c r="R65" s="810">
        <f t="shared" si="52"/>
        <v>908.64</v>
      </c>
      <c r="S65" s="810">
        <f t="shared" si="52"/>
        <v>908.64</v>
      </c>
      <c r="T65" s="842">
        <f t="shared" si="52"/>
        <v>908.64</v>
      </c>
      <c r="U65" s="842">
        <f t="shared" si="52"/>
        <v>908.64</v>
      </c>
      <c r="V65" s="842">
        <f t="shared" si="52"/>
        <v>605.7600000000001</v>
      </c>
      <c r="W65" s="842">
        <f t="shared" si="52"/>
        <v>302.88000000000005</v>
      </c>
    </row>
    <row r="66" spans="1:23" ht="18" customHeight="1">
      <c r="A66" s="813" t="s">
        <v>367</v>
      </c>
      <c r="B66" s="1142"/>
      <c r="C66" s="1117"/>
      <c r="D66" s="1099"/>
      <c r="E66" s="793" t="s">
        <v>291</v>
      </c>
      <c r="F66" s="816">
        <v>2.3E-2</v>
      </c>
      <c r="G66" s="816"/>
      <c r="H66" s="817"/>
      <c r="I66" s="817"/>
      <c r="J66" s="817"/>
      <c r="K66" s="817"/>
      <c r="L66" s="906"/>
      <c r="M66" s="906"/>
      <c r="N66" s="906"/>
      <c r="O66" s="906"/>
      <c r="P66" s="906"/>
      <c r="Q66" s="906"/>
      <c r="R66" s="906"/>
      <c r="S66" s="906"/>
      <c r="T66" s="913"/>
      <c r="U66" s="906"/>
      <c r="V66" s="906"/>
      <c r="W66" s="914"/>
    </row>
    <row r="67" spans="1:23" ht="18" customHeight="1">
      <c r="A67" s="812" t="s">
        <v>368</v>
      </c>
      <c r="B67" s="1142"/>
      <c r="C67" s="1117"/>
      <c r="D67" s="1099"/>
      <c r="E67" s="790" t="s">
        <v>293</v>
      </c>
      <c r="F67" s="809">
        <f>IFERROR(SUM(H67:W67),0)</f>
        <v>139.32480000000001</v>
      </c>
      <c r="G67" s="809"/>
      <c r="H67" s="810">
        <f t="shared" ref="H67:W67" si="53">IFERROR(H65*$F66,0)</f>
        <v>0</v>
      </c>
      <c r="I67" s="810">
        <f t="shared" si="53"/>
        <v>0</v>
      </c>
      <c r="J67" s="810">
        <f t="shared" si="53"/>
        <v>0</v>
      </c>
      <c r="K67" s="810">
        <f t="shared" si="53"/>
        <v>0</v>
      </c>
      <c r="L67" s="810">
        <f t="shared" si="53"/>
        <v>0</v>
      </c>
      <c r="M67" s="810">
        <f t="shared" si="53"/>
        <v>6.9662400000000009</v>
      </c>
      <c r="N67" s="810">
        <f t="shared" si="53"/>
        <v>6.9662400000000009</v>
      </c>
      <c r="O67" s="810">
        <f t="shared" si="53"/>
        <v>6.9662400000000009</v>
      </c>
      <c r="P67" s="810">
        <f t="shared" si="53"/>
        <v>6.9662400000000009</v>
      </c>
      <c r="Q67" s="810">
        <f t="shared" si="53"/>
        <v>6.9662400000000009</v>
      </c>
      <c r="R67" s="810">
        <f t="shared" si="53"/>
        <v>20.898720000000001</v>
      </c>
      <c r="S67" s="810">
        <f t="shared" si="53"/>
        <v>20.898720000000001</v>
      </c>
      <c r="T67" s="842">
        <f t="shared" si="53"/>
        <v>20.898720000000001</v>
      </c>
      <c r="U67" s="842">
        <f t="shared" si="53"/>
        <v>20.898720000000001</v>
      </c>
      <c r="V67" s="842">
        <f t="shared" si="53"/>
        <v>13.932480000000002</v>
      </c>
      <c r="W67" s="842">
        <f t="shared" si="53"/>
        <v>6.9662400000000009</v>
      </c>
    </row>
    <row r="68" spans="1:23" ht="18" customHeight="1">
      <c r="A68" s="813" t="s">
        <v>369</v>
      </c>
      <c r="B68" s="1143"/>
      <c r="C68" s="1118" t="s">
        <v>370</v>
      </c>
      <c r="D68" s="1100"/>
      <c r="E68" s="793" t="s">
        <v>279</v>
      </c>
      <c r="F68" s="794">
        <v>0</v>
      </c>
      <c r="G68" s="844"/>
      <c r="H68" s="841">
        <f t="shared" ref="H68:W68" si="54">IFERROR($F68*H70,0)</f>
        <v>0</v>
      </c>
      <c r="I68" s="841">
        <f t="shared" si="54"/>
        <v>0</v>
      </c>
      <c r="J68" s="841">
        <f t="shared" si="54"/>
        <v>0</v>
      </c>
      <c r="K68" s="841">
        <f t="shared" si="54"/>
        <v>0</v>
      </c>
      <c r="L68" s="841">
        <f t="shared" si="54"/>
        <v>0</v>
      </c>
      <c r="M68" s="841">
        <f t="shared" si="54"/>
        <v>0</v>
      </c>
      <c r="N68" s="841">
        <f t="shared" si="54"/>
        <v>0</v>
      </c>
      <c r="O68" s="841">
        <f t="shared" si="54"/>
        <v>0</v>
      </c>
      <c r="P68" s="841">
        <f t="shared" si="54"/>
        <v>0</v>
      </c>
      <c r="Q68" s="841">
        <f t="shared" si="54"/>
        <v>0</v>
      </c>
      <c r="R68" s="841">
        <f t="shared" si="54"/>
        <v>0</v>
      </c>
      <c r="S68" s="841">
        <f t="shared" si="54"/>
        <v>0</v>
      </c>
      <c r="T68" s="841">
        <f t="shared" si="54"/>
        <v>0</v>
      </c>
      <c r="U68" s="841">
        <f t="shared" si="54"/>
        <v>0</v>
      </c>
      <c r="V68" s="841">
        <f t="shared" si="54"/>
        <v>0</v>
      </c>
      <c r="W68" s="841">
        <f t="shared" si="54"/>
        <v>0</v>
      </c>
    </row>
    <row r="69" spans="1:23" ht="18" customHeight="1">
      <c r="A69" s="812" t="s">
        <v>371</v>
      </c>
      <c r="B69" s="1144"/>
      <c r="C69" s="1119"/>
      <c r="D69" s="1101"/>
      <c r="E69" s="790" t="s">
        <v>362</v>
      </c>
      <c r="F69" s="807">
        <v>0</v>
      </c>
      <c r="G69" s="845">
        <f t="shared" ref="G69:W69" si="55">IFERROR(F69,0)</f>
        <v>0</v>
      </c>
      <c r="H69" s="831">
        <f t="shared" si="55"/>
        <v>0</v>
      </c>
      <c r="I69" s="831">
        <f t="shared" si="55"/>
        <v>0</v>
      </c>
      <c r="J69" s="831">
        <f t="shared" si="55"/>
        <v>0</v>
      </c>
      <c r="K69" s="831">
        <f t="shared" si="55"/>
        <v>0</v>
      </c>
      <c r="L69" s="831">
        <f t="shared" si="55"/>
        <v>0</v>
      </c>
      <c r="M69" s="831">
        <f t="shared" si="55"/>
        <v>0</v>
      </c>
      <c r="N69" s="831">
        <f t="shared" si="55"/>
        <v>0</v>
      </c>
      <c r="O69" s="831">
        <f t="shared" si="55"/>
        <v>0</v>
      </c>
      <c r="P69" s="831">
        <f t="shared" si="55"/>
        <v>0</v>
      </c>
      <c r="Q69" s="831">
        <f t="shared" si="55"/>
        <v>0</v>
      </c>
      <c r="R69" s="831">
        <f t="shared" si="55"/>
        <v>0</v>
      </c>
      <c r="S69" s="831">
        <f t="shared" si="55"/>
        <v>0</v>
      </c>
      <c r="T69" s="831">
        <f t="shared" si="55"/>
        <v>0</v>
      </c>
      <c r="U69" s="831">
        <f t="shared" si="55"/>
        <v>0</v>
      </c>
      <c r="V69" s="831">
        <f t="shared" si="55"/>
        <v>0</v>
      </c>
      <c r="W69" s="831">
        <f t="shared" si="55"/>
        <v>0</v>
      </c>
    </row>
    <row r="70" spans="1:23" ht="18" customHeight="1">
      <c r="A70" s="814" t="s">
        <v>372</v>
      </c>
      <c r="B70" s="1144"/>
      <c r="C70" s="1119"/>
      <c r="D70" s="1101"/>
      <c r="E70" s="793" t="s">
        <v>283</v>
      </c>
      <c r="F70" s="816">
        <f>IFERROR(SUM(H70:W70),0)</f>
        <v>1</v>
      </c>
      <c r="G70" s="846"/>
      <c r="H70" s="847"/>
      <c r="I70" s="798"/>
      <c r="J70" s="798"/>
      <c r="K70" s="798"/>
      <c r="L70" s="822"/>
      <c r="M70" s="822"/>
      <c r="N70" s="822"/>
      <c r="O70" s="822"/>
      <c r="P70" s="822">
        <v>1</v>
      </c>
      <c r="Q70" s="822"/>
      <c r="R70" s="822"/>
      <c r="S70" s="822"/>
      <c r="T70" s="822"/>
      <c r="U70" s="822"/>
      <c r="V70" s="822"/>
      <c r="W70" s="834"/>
    </row>
    <row r="71" spans="1:23" ht="18" customHeight="1">
      <c r="A71" s="812" t="s">
        <v>373</v>
      </c>
      <c r="B71" s="1144"/>
      <c r="C71" s="1119"/>
      <c r="D71" s="1101"/>
      <c r="E71" s="790" t="s">
        <v>285</v>
      </c>
      <c r="F71" s="809">
        <f>IFERROR(SUM(H71:W71),0)</f>
        <v>0</v>
      </c>
      <c r="G71" s="848">
        <f>IFERROR(F71/(1+增值税适用税率),0)</f>
        <v>0</v>
      </c>
      <c r="H71" s="842">
        <f t="shared" ref="H71:W71" si="56">IFERROR(H69*H68/10000,0)</f>
        <v>0</v>
      </c>
      <c r="I71" s="842">
        <f t="shared" si="56"/>
        <v>0</v>
      </c>
      <c r="J71" s="842">
        <f t="shared" si="56"/>
        <v>0</v>
      </c>
      <c r="K71" s="842">
        <f t="shared" si="56"/>
        <v>0</v>
      </c>
      <c r="L71" s="842">
        <f t="shared" si="56"/>
        <v>0</v>
      </c>
      <c r="M71" s="842">
        <f t="shared" si="56"/>
        <v>0</v>
      </c>
      <c r="N71" s="842">
        <f t="shared" si="56"/>
        <v>0</v>
      </c>
      <c r="O71" s="842">
        <f t="shared" si="56"/>
        <v>0</v>
      </c>
      <c r="P71" s="842">
        <f t="shared" si="56"/>
        <v>0</v>
      </c>
      <c r="Q71" s="842">
        <f t="shared" si="56"/>
        <v>0</v>
      </c>
      <c r="R71" s="842">
        <f t="shared" si="56"/>
        <v>0</v>
      </c>
      <c r="S71" s="842">
        <f t="shared" si="56"/>
        <v>0</v>
      </c>
      <c r="T71" s="842">
        <f t="shared" si="56"/>
        <v>0</v>
      </c>
      <c r="U71" s="842">
        <f t="shared" si="56"/>
        <v>0</v>
      </c>
      <c r="V71" s="842">
        <f t="shared" si="56"/>
        <v>0</v>
      </c>
      <c r="W71" s="842">
        <f t="shared" si="56"/>
        <v>0</v>
      </c>
    </row>
    <row r="72" spans="1:23" ht="18" customHeight="1">
      <c r="A72" s="813" t="s">
        <v>374</v>
      </c>
      <c r="B72" s="1144"/>
      <c r="C72" s="1119"/>
      <c r="D72" s="1101"/>
      <c r="E72" s="793" t="s">
        <v>287</v>
      </c>
      <c r="F72" s="816">
        <v>1</v>
      </c>
      <c r="G72" s="846">
        <f t="shared" ref="G72:W72" si="57">IFERROR(F72,0)</f>
        <v>1</v>
      </c>
      <c r="H72" s="840">
        <f t="shared" si="57"/>
        <v>1</v>
      </c>
      <c r="I72" s="840">
        <f t="shared" si="57"/>
        <v>1</v>
      </c>
      <c r="J72" s="840">
        <f t="shared" si="57"/>
        <v>1</v>
      </c>
      <c r="K72" s="840">
        <f t="shared" si="57"/>
        <v>1</v>
      </c>
      <c r="L72" s="840">
        <f t="shared" si="57"/>
        <v>1</v>
      </c>
      <c r="M72" s="840">
        <f t="shared" si="57"/>
        <v>1</v>
      </c>
      <c r="N72" s="840">
        <f t="shared" si="57"/>
        <v>1</v>
      </c>
      <c r="O72" s="840">
        <f t="shared" si="57"/>
        <v>1</v>
      </c>
      <c r="P72" s="840">
        <f t="shared" si="57"/>
        <v>1</v>
      </c>
      <c r="Q72" s="840">
        <f t="shared" si="57"/>
        <v>1</v>
      </c>
      <c r="R72" s="840">
        <f t="shared" si="57"/>
        <v>1</v>
      </c>
      <c r="S72" s="840">
        <f t="shared" si="57"/>
        <v>1</v>
      </c>
      <c r="T72" s="840">
        <f t="shared" si="57"/>
        <v>1</v>
      </c>
      <c r="U72" s="840">
        <f t="shared" si="57"/>
        <v>1</v>
      </c>
      <c r="V72" s="840">
        <f t="shared" si="57"/>
        <v>1</v>
      </c>
      <c r="W72" s="840">
        <f t="shared" si="57"/>
        <v>1</v>
      </c>
    </row>
    <row r="73" spans="1:23" ht="18" customHeight="1">
      <c r="A73" s="812" t="s">
        <v>375</v>
      </c>
      <c r="B73" s="1144"/>
      <c r="C73" s="1119"/>
      <c r="D73" s="1101"/>
      <c r="E73" s="790" t="s">
        <v>289</v>
      </c>
      <c r="F73" s="809">
        <f>IFERROR(SUM(H73:W73),0)</f>
        <v>0</v>
      </c>
      <c r="G73" s="848">
        <f>IFERROR(F73/(1+增值税适用税率),0)</f>
        <v>0</v>
      </c>
      <c r="H73" s="842">
        <f t="shared" ref="H73:W73" si="58">IFERROR(H71*H72,0)</f>
        <v>0</v>
      </c>
      <c r="I73" s="842">
        <f t="shared" si="58"/>
        <v>0</v>
      </c>
      <c r="J73" s="842">
        <f t="shared" si="58"/>
        <v>0</v>
      </c>
      <c r="K73" s="842">
        <f t="shared" si="58"/>
        <v>0</v>
      </c>
      <c r="L73" s="842">
        <f t="shared" si="58"/>
        <v>0</v>
      </c>
      <c r="M73" s="842">
        <f t="shared" si="58"/>
        <v>0</v>
      </c>
      <c r="N73" s="842">
        <f t="shared" si="58"/>
        <v>0</v>
      </c>
      <c r="O73" s="842">
        <f t="shared" si="58"/>
        <v>0</v>
      </c>
      <c r="P73" s="842">
        <f t="shared" si="58"/>
        <v>0</v>
      </c>
      <c r="Q73" s="842">
        <f t="shared" si="58"/>
        <v>0</v>
      </c>
      <c r="R73" s="842">
        <f t="shared" si="58"/>
        <v>0</v>
      </c>
      <c r="S73" s="842">
        <f t="shared" si="58"/>
        <v>0</v>
      </c>
      <c r="T73" s="842">
        <f t="shared" si="58"/>
        <v>0</v>
      </c>
      <c r="U73" s="842">
        <f t="shared" si="58"/>
        <v>0</v>
      </c>
      <c r="V73" s="842">
        <f t="shared" si="58"/>
        <v>0</v>
      </c>
      <c r="W73" s="842">
        <f t="shared" si="58"/>
        <v>0</v>
      </c>
    </row>
    <row r="74" spans="1:23" ht="18" customHeight="1">
      <c r="A74" s="813" t="s">
        <v>376</v>
      </c>
      <c r="B74" s="1144"/>
      <c r="C74" s="1119"/>
      <c r="D74" s="1101"/>
      <c r="E74" s="793" t="s">
        <v>291</v>
      </c>
      <c r="F74" s="816">
        <v>6.0000000000000001E-3</v>
      </c>
      <c r="G74" s="846"/>
      <c r="H74" s="840"/>
      <c r="I74" s="817"/>
      <c r="J74" s="817"/>
      <c r="K74" s="817"/>
      <c r="L74" s="906"/>
      <c r="M74" s="906"/>
      <c r="N74" s="906"/>
      <c r="O74" s="906"/>
      <c r="P74" s="906"/>
      <c r="Q74" s="906"/>
      <c r="R74" s="906"/>
      <c r="S74" s="906"/>
      <c r="T74" s="906"/>
      <c r="U74" s="906"/>
      <c r="V74" s="906"/>
      <c r="W74" s="914"/>
    </row>
    <row r="75" spans="1:23" ht="18" customHeight="1">
      <c r="A75" s="812" t="s">
        <v>377</v>
      </c>
      <c r="B75" s="1145"/>
      <c r="C75" s="1120"/>
      <c r="D75" s="1102"/>
      <c r="E75" s="790" t="s">
        <v>293</v>
      </c>
      <c r="F75" s="809">
        <f>IFERROR(SUM(H75:W75),0)</f>
        <v>0</v>
      </c>
      <c r="G75" s="848"/>
      <c r="H75" s="842">
        <f t="shared" ref="H75:W75" si="59">IFERROR(H73*$F74,0)</f>
        <v>0</v>
      </c>
      <c r="I75" s="842">
        <f t="shared" si="59"/>
        <v>0</v>
      </c>
      <c r="J75" s="842">
        <f t="shared" si="59"/>
        <v>0</v>
      </c>
      <c r="K75" s="842">
        <f t="shared" si="59"/>
        <v>0</v>
      </c>
      <c r="L75" s="842">
        <f t="shared" si="59"/>
        <v>0</v>
      </c>
      <c r="M75" s="842">
        <f t="shared" si="59"/>
        <v>0</v>
      </c>
      <c r="N75" s="842">
        <f t="shared" si="59"/>
        <v>0</v>
      </c>
      <c r="O75" s="842">
        <f t="shared" si="59"/>
        <v>0</v>
      </c>
      <c r="P75" s="842">
        <f t="shared" si="59"/>
        <v>0</v>
      </c>
      <c r="Q75" s="842">
        <f t="shared" si="59"/>
        <v>0</v>
      </c>
      <c r="R75" s="842">
        <f t="shared" si="59"/>
        <v>0</v>
      </c>
      <c r="S75" s="842">
        <f t="shared" si="59"/>
        <v>0</v>
      </c>
      <c r="T75" s="842">
        <f t="shared" si="59"/>
        <v>0</v>
      </c>
      <c r="U75" s="842">
        <f t="shared" si="59"/>
        <v>0</v>
      </c>
      <c r="V75" s="842">
        <f t="shared" si="59"/>
        <v>0</v>
      </c>
      <c r="W75" s="842">
        <f t="shared" si="59"/>
        <v>0</v>
      </c>
    </row>
    <row r="76" spans="1:23" ht="18" customHeight="1">
      <c r="A76" s="813" t="s">
        <v>378</v>
      </c>
      <c r="B76" s="849"/>
      <c r="C76" s="1149"/>
      <c r="D76" s="1150"/>
      <c r="E76" s="793" t="s">
        <v>379</v>
      </c>
      <c r="F76" s="794">
        <f>IFERROR(F23,0)</f>
        <v>105613.436</v>
      </c>
      <c r="G76" s="844"/>
      <c r="H76" s="841">
        <f t="shared" ref="H76:W76" si="60">IFERROR(H23,0)</f>
        <v>0</v>
      </c>
      <c r="I76" s="841">
        <f t="shared" si="60"/>
        <v>0</v>
      </c>
      <c r="J76" s="841">
        <f t="shared" si="60"/>
        <v>12673.61232</v>
      </c>
      <c r="K76" s="841">
        <f t="shared" si="60"/>
        <v>10561.3436</v>
      </c>
      <c r="L76" s="841">
        <f t="shared" si="60"/>
        <v>13729.74668</v>
      </c>
      <c r="M76" s="841">
        <f t="shared" si="60"/>
        <v>10561.3436</v>
      </c>
      <c r="N76" s="841">
        <f t="shared" si="60"/>
        <v>10561.3436</v>
      </c>
      <c r="O76" s="841">
        <f t="shared" si="60"/>
        <v>10561.3436</v>
      </c>
      <c r="P76" s="841">
        <f t="shared" si="60"/>
        <v>13729.74668</v>
      </c>
      <c r="Q76" s="841">
        <f t="shared" si="60"/>
        <v>8449.0748800000001</v>
      </c>
      <c r="R76" s="841">
        <f t="shared" si="60"/>
        <v>5280.6718000000001</v>
      </c>
      <c r="S76" s="841">
        <f t="shared" si="60"/>
        <v>4224.5374400000001</v>
      </c>
      <c r="T76" s="841">
        <f t="shared" si="60"/>
        <v>3168.40308</v>
      </c>
      <c r="U76" s="841">
        <f t="shared" si="60"/>
        <v>2112.26872</v>
      </c>
      <c r="V76" s="841">
        <f t="shared" si="60"/>
        <v>0</v>
      </c>
      <c r="W76" s="841">
        <f t="shared" si="60"/>
        <v>0</v>
      </c>
    </row>
    <row r="77" spans="1:23" ht="18" customHeight="1">
      <c r="A77" s="812" t="s">
        <v>380</v>
      </c>
      <c r="B77" s="850"/>
      <c r="C77" s="851"/>
      <c r="D77" s="852"/>
      <c r="E77" s="790" t="s">
        <v>381</v>
      </c>
      <c r="F77" s="807">
        <f>IFERROR(F80/F76*10000,0)</f>
        <v>44999.999999999993</v>
      </c>
      <c r="G77" s="845"/>
      <c r="H77" s="831"/>
      <c r="I77" s="791"/>
      <c r="J77" s="791"/>
      <c r="K77" s="791"/>
      <c r="L77" s="907"/>
      <c r="M77" s="907"/>
      <c r="N77" s="907"/>
      <c r="O77" s="907"/>
      <c r="P77" s="907"/>
      <c r="Q77" s="907"/>
      <c r="R77" s="907"/>
      <c r="S77" s="907"/>
      <c r="T77" s="907"/>
      <c r="U77" s="907"/>
      <c r="V77" s="907"/>
      <c r="W77" s="915"/>
    </row>
    <row r="78" spans="1:23" ht="18" customHeight="1">
      <c r="A78" s="813" t="s">
        <v>382</v>
      </c>
      <c r="B78" s="853"/>
      <c r="C78" s="854"/>
      <c r="D78" s="855"/>
      <c r="E78" s="793" t="s">
        <v>383</v>
      </c>
      <c r="F78" s="794"/>
      <c r="G78" s="844"/>
      <c r="H78" s="841"/>
      <c r="I78" s="808"/>
      <c r="J78" s="808"/>
      <c r="K78" s="808"/>
      <c r="L78" s="908"/>
      <c r="M78" s="908"/>
      <c r="N78" s="908"/>
      <c r="O78" s="908"/>
      <c r="P78" s="908"/>
      <c r="Q78" s="908"/>
      <c r="R78" s="908"/>
      <c r="S78" s="908"/>
      <c r="T78" s="908"/>
      <c r="U78" s="908"/>
      <c r="V78" s="908"/>
      <c r="W78" s="916"/>
    </row>
    <row r="79" spans="1:23" ht="18" customHeight="1">
      <c r="A79" s="812" t="s">
        <v>384</v>
      </c>
      <c r="B79" s="850"/>
      <c r="C79" s="851"/>
      <c r="D79" s="852"/>
      <c r="E79" s="790" t="s">
        <v>385</v>
      </c>
      <c r="F79" s="807">
        <f>IFERROR(F81/F78*10000,0)</f>
        <v>0</v>
      </c>
      <c r="G79" s="845"/>
      <c r="H79" s="831"/>
      <c r="I79" s="791"/>
      <c r="J79" s="791"/>
      <c r="K79" s="791"/>
      <c r="L79" s="907"/>
      <c r="M79" s="907"/>
      <c r="N79" s="907"/>
      <c r="O79" s="907"/>
      <c r="P79" s="907"/>
      <c r="Q79" s="907"/>
      <c r="R79" s="907"/>
      <c r="S79" s="907"/>
      <c r="T79" s="907"/>
      <c r="U79" s="907"/>
      <c r="V79" s="907"/>
      <c r="W79" s="915"/>
    </row>
    <row r="80" spans="1:23" ht="18" customHeight="1">
      <c r="A80" s="813" t="s">
        <v>386</v>
      </c>
      <c r="B80" s="853"/>
      <c r="C80" s="854"/>
      <c r="D80" s="855"/>
      <c r="E80" s="793" t="s">
        <v>387</v>
      </c>
      <c r="F80" s="800">
        <f>IFERROR(SUM(H80:W80),0)</f>
        <v>475260.46199999994</v>
      </c>
      <c r="G80" s="856">
        <f>IFERROR(F80/(1+增值税适用税率),0)</f>
        <v>436018.77247706411</v>
      </c>
      <c r="H80" s="835">
        <f t="shared" ref="H80:W80" si="61">IFERROR(H26,0)</f>
        <v>0</v>
      </c>
      <c r="I80" s="835">
        <f t="shared" si="61"/>
        <v>0</v>
      </c>
      <c r="J80" s="835">
        <f t="shared" si="61"/>
        <v>22812.502176000002</v>
      </c>
      <c r="K80" s="835">
        <f t="shared" si="61"/>
        <v>19010.418480000004</v>
      </c>
      <c r="L80" s="835">
        <f t="shared" si="61"/>
        <v>24713.544024000003</v>
      </c>
      <c r="M80" s="835">
        <f t="shared" si="61"/>
        <v>147330.74322</v>
      </c>
      <c r="N80" s="835">
        <f t="shared" si="61"/>
        <v>47526.046200000004</v>
      </c>
      <c r="O80" s="835">
        <f t="shared" si="61"/>
        <v>47526.046200000004</v>
      </c>
      <c r="P80" s="835">
        <f t="shared" si="61"/>
        <v>61783.860060000006</v>
      </c>
      <c r="Q80" s="835">
        <f t="shared" si="61"/>
        <v>38020.836960000001</v>
      </c>
      <c r="R80" s="835">
        <f t="shared" si="61"/>
        <v>23763.023100000002</v>
      </c>
      <c r="S80" s="835">
        <f t="shared" si="61"/>
        <v>19010.41848</v>
      </c>
      <c r="T80" s="835">
        <f t="shared" si="61"/>
        <v>14257.813859999998</v>
      </c>
      <c r="U80" s="835">
        <f t="shared" si="61"/>
        <v>9505.2092400000001</v>
      </c>
      <c r="V80" s="835">
        <f t="shared" si="61"/>
        <v>0</v>
      </c>
      <c r="W80" s="835">
        <f t="shared" si="61"/>
        <v>0</v>
      </c>
    </row>
    <row r="81" spans="1:23" ht="18" customHeight="1">
      <c r="A81" s="812" t="s">
        <v>388</v>
      </c>
      <c r="B81" s="850"/>
      <c r="C81" s="851"/>
      <c r="D81" s="852"/>
      <c r="E81" s="790" t="s">
        <v>389</v>
      </c>
      <c r="F81" s="809">
        <f>IFERROR(SUM(H81:W81),0)</f>
        <v>0</v>
      </c>
      <c r="G81" s="848">
        <f>IFERROR(F81/(1+增值税适用税率),0)</f>
        <v>0</v>
      </c>
      <c r="H81" s="842"/>
      <c r="I81" s="810"/>
      <c r="J81" s="810"/>
      <c r="K81" s="810"/>
      <c r="L81" s="909"/>
      <c r="M81" s="909"/>
      <c r="N81" s="909"/>
      <c r="O81" s="909"/>
      <c r="P81" s="909"/>
      <c r="Q81" s="909"/>
      <c r="R81" s="909"/>
      <c r="S81" s="909"/>
      <c r="T81" s="909"/>
      <c r="U81" s="909"/>
      <c r="V81" s="909"/>
      <c r="W81" s="917"/>
    </row>
    <row r="82" spans="1:23" ht="18" customHeight="1">
      <c r="A82" s="813" t="s">
        <v>390</v>
      </c>
      <c r="B82" s="853"/>
      <c r="C82" s="854"/>
      <c r="D82" s="855"/>
      <c r="E82" s="793" t="s">
        <v>391</v>
      </c>
      <c r="F82" s="800">
        <f>IFERROR(SUM(H82:W82),0)</f>
        <v>0</v>
      </c>
      <c r="G82" s="856">
        <f>IFERROR(F82/(1+增值税适用税率),0)</f>
        <v>0</v>
      </c>
      <c r="H82" s="835"/>
      <c r="I82" s="801"/>
      <c r="J82" s="801"/>
      <c r="K82" s="801"/>
      <c r="L82" s="910"/>
      <c r="M82" s="910"/>
      <c r="N82" s="910"/>
      <c r="O82" s="910"/>
      <c r="P82" s="910"/>
      <c r="Q82" s="910"/>
      <c r="R82" s="910"/>
      <c r="S82" s="910"/>
      <c r="T82" s="910"/>
      <c r="U82" s="910"/>
      <c r="V82" s="910"/>
      <c r="W82" s="918"/>
    </row>
    <row r="83" spans="1:23" ht="18" customHeight="1">
      <c r="A83" s="812" t="s">
        <v>392</v>
      </c>
      <c r="B83" s="850"/>
      <c r="C83" s="851"/>
      <c r="D83" s="852"/>
      <c r="E83" s="790" t="s">
        <v>393</v>
      </c>
      <c r="F83" s="809">
        <f>IFERROR(SUM(H83:W83),0)</f>
        <v>7190.2000000000007</v>
      </c>
      <c r="G83" s="848">
        <f>IFERROR(F83/(1+增值税适用税率),0)</f>
        <v>6596.5137614678897</v>
      </c>
      <c r="H83" s="842">
        <f t="shared" ref="H83:W83" si="62">IFERROR(H54,0)</f>
        <v>0</v>
      </c>
      <c r="I83" s="842">
        <f t="shared" si="62"/>
        <v>0</v>
      </c>
      <c r="J83" s="842">
        <f t="shared" si="62"/>
        <v>592.37999999999988</v>
      </c>
      <c r="K83" s="842">
        <f t="shared" si="62"/>
        <v>493.65</v>
      </c>
      <c r="L83" s="842">
        <f t="shared" si="62"/>
        <v>641.74500000000012</v>
      </c>
      <c r="M83" s="842">
        <f t="shared" si="62"/>
        <v>578.83500000000004</v>
      </c>
      <c r="N83" s="842">
        <f t="shared" si="62"/>
        <v>578.83500000000004</v>
      </c>
      <c r="O83" s="842">
        <f t="shared" si="62"/>
        <v>578.83500000000004</v>
      </c>
      <c r="P83" s="842">
        <f t="shared" si="62"/>
        <v>726.93000000000006</v>
      </c>
      <c r="Q83" s="842">
        <f t="shared" si="62"/>
        <v>480.10500000000002</v>
      </c>
      <c r="R83" s="842">
        <f t="shared" si="62"/>
        <v>1052.3799999999999</v>
      </c>
      <c r="S83" s="842">
        <f t="shared" si="62"/>
        <v>453.01499999999999</v>
      </c>
      <c r="T83" s="842">
        <f t="shared" si="62"/>
        <v>403.64999999999992</v>
      </c>
      <c r="U83" s="842">
        <f t="shared" si="62"/>
        <v>354.28499999999997</v>
      </c>
      <c r="V83" s="842">
        <f t="shared" si="62"/>
        <v>170.37</v>
      </c>
      <c r="W83" s="842">
        <f t="shared" si="62"/>
        <v>85.185000000000002</v>
      </c>
    </row>
    <row r="84" spans="1:23" ht="18" customHeight="1">
      <c r="A84" s="813" t="s">
        <v>394</v>
      </c>
      <c r="B84" s="853"/>
      <c r="C84" s="854"/>
      <c r="D84" s="855"/>
      <c r="E84" s="793" t="s">
        <v>395</v>
      </c>
      <c r="F84" s="800">
        <f>IFERROR(SUM(H84:W84),0)</f>
        <v>0</v>
      </c>
      <c r="G84" s="856">
        <f>IFERROR(F84/(1+增值税适用税率),0)</f>
        <v>0</v>
      </c>
      <c r="H84" s="835"/>
      <c r="I84" s="801"/>
      <c r="J84" s="801"/>
      <c r="K84" s="801"/>
      <c r="L84" s="910"/>
      <c r="M84" s="910"/>
      <c r="N84" s="910"/>
      <c r="O84" s="910"/>
      <c r="P84" s="910"/>
      <c r="Q84" s="910"/>
      <c r="R84" s="910"/>
      <c r="S84" s="910"/>
      <c r="T84" s="910"/>
      <c r="U84" s="910"/>
      <c r="V84" s="910"/>
      <c r="W84" s="918"/>
    </row>
    <row r="85" spans="1:23" ht="18" customHeight="1">
      <c r="A85" s="812" t="s">
        <v>396</v>
      </c>
      <c r="B85" s="857"/>
      <c r="C85" s="858"/>
      <c r="D85" s="859"/>
      <c r="E85" s="790" t="s">
        <v>397</v>
      </c>
      <c r="F85" s="809">
        <f>IFERROR(MAX(成本构成!AC85-成本构成!AC84,成本构成!I85-成本构成!I84,0),0)</f>
        <v>7279.186039392087</v>
      </c>
      <c r="G85" s="848"/>
      <c r="H85" s="831">
        <f>IFERROR(SUM($G86:G86),0)</f>
        <v>0</v>
      </c>
      <c r="I85" s="831">
        <f>IFERROR(SUM($G86:H86),0)</f>
        <v>0</v>
      </c>
      <c r="J85" s="831">
        <f>IFERROR(SUM($G86:I86),0)</f>
        <v>0</v>
      </c>
      <c r="K85" s="831">
        <f>IFERROR(SUM($G86:J86),0)</f>
        <v>12805.25232</v>
      </c>
      <c r="L85" s="831">
        <f>IFERROR(SUM($G86:K86),0)</f>
        <v>23476.29592</v>
      </c>
      <c r="M85" s="831">
        <f>IFERROR(SUM($G86:L86),0)</f>
        <v>37348.652600000001</v>
      </c>
      <c r="N85" s="831">
        <f>IFERROR(SUM($G86:M86),0)</f>
        <v>48161.671199999997</v>
      </c>
      <c r="O85" s="831">
        <f>IFERROR(SUM($G86:N86),0)</f>
        <v>58974.689799999993</v>
      </c>
      <c r="P85" s="831">
        <f>IFERROR(SUM($G86:O86),0)</f>
        <v>69787.708399999989</v>
      </c>
      <c r="Q85" s="831">
        <f>IFERROR(SUM($G86:P86),0)</f>
        <v>83802.040079999992</v>
      </c>
      <c r="R85" s="831">
        <f>IFERROR(SUM($G86:Q86),0)</f>
        <v>92480.849959999992</v>
      </c>
      <c r="S85" s="831">
        <f>IFERROR(SUM($G86:R86),0)</f>
        <v>98792.296759999997</v>
      </c>
      <c r="T85" s="831">
        <f>IFERROR(SUM($G86:S86),0)</f>
        <v>103486.63920000001</v>
      </c>
      <c r="U85" s="831">
        <f>IFERROR(SUM($G86:T86),0)</f>
        <v>107113.87728</v>
      </c>
      <c r="V85" s="831">
        <f>IFERROR(SUM($G86:U86),0)</f>
        <v>109674.011</v>
      </c>
      <c r="W85" s="831">
        <f>IFERROR(SUM($G86:V86),0)</f>
        <v>109957.961</v>
      </c>
    </row>
    <row r="86" spans="1:23" ht="18" customHeight="1">
      <c r="A86" s="799" t="s">
        <v>398</v>
      </c>
      <c r="B86" s="1146"/>
      <c r="C86" s="1121" t="s">
        <v>399</v>
      </c>
      <c r="D86" s="1122"/>
      <c r="E86" s="860" t="s">
        <v>400</v>
      </c>
      <c r="F86" s="861">
        <f>IFERROR(F55,0)</f>
        <v>110099.936</v>
      </c>
      <c r="G86" s="862"/>
      <c r="H86" s="841">
        <f t="shared" ref="H86:W86" si="63">IFERROR(H55,0)</f>
        <v>0</v>
      </c>
      <c r="I86" s="841">
        <f t="shared" si="63"/>
        <v>0</v>
      </c>
      <c r="J86" s="841">
        <f t="shared" si="63"/>
        <v>12805.25232</v>
      </c>
      <c r="K86" s="841">
        <f t="shared" si="63"/>
        <v>10671.043600000001</v>
      </c>
      <c r="L86" s="841">
        <f t="shared" si="63"/>
        <v>13872.356680000001</v>
      </c>
      <c r="M86" s="841">
        <f t="shared" si="63"/>
        <v>10813.018599999999</v>
      </c>
      <c r="N86" s="841">
        <f t="shared" si="63"/>
        <v>10813.018599999999</v>
      </c>
      <c r="O86" s="841">
        <f t="shared" si="63"/>
        <v>10813.018599999999</v>
      </c>
      <c r="P86" s="841">
        <f t="shared" si="63"/>
        <v>14014.331679999999</v>
      </c>
      <c r="Q86" s="841">
        <f t="shared" si="63"/>
        <v>8678.8098800000007</v>
      </c>
      <c r="R86" s="841">
        <f t="shared" si="63"/>
        <v>6311.4467999999997</v>
      </c>
      <c r="S86" s="841">
        <f t="shared" si="63"/>
        <v>4694.3424400000004</v>
      </c>
      <c r="T86" s="841">
        <f t="shared" si="63"/>
        <v>3627.2380800000001</v>
      </c>
      <c r="U86" s="841">
        <f t="shared" si="63"/>
        <v>2560.1337199999998</v>
      </c>
      <c r="V86" s="841">
        <f t="shared" si="63"/>
        <v>283.95</v>
      </c>
      <c r="W86" s="841">
        <f t="shared" si="63"/>
        <v>141.97499999999999</v>
      </c>
    </row>
    <row r="87" spans="1:23" ht="18" customHeight="1">
      <c r="A87" s="789" t="s">
        <v>401</v>
      </c>
      <c r="B87" s="1147"/>
      <c r="C87" s="1123"/>
      <c r="D87" s="1124"/>
      <c r="E87" s="860" t="s">
        <v>402</v>
      </c>
      <c r="F87" s="861">
        <f>IFERROR(F88/F86*10000,0)</f>
        <v>44369.531876930421</v>
      </c>
      <c r="G87" s="862"/>
      <c r="H87" s="831"/>
      <c r="I87" s="791"/>
      <c r="J87" s="791"/>
      <c r="K87" s="791"/>
      <c r="L87" s="907"/>
      <c r="M87" s="907"/>
      <c r="N87" s="907"/>
      <c r="O87" s="907"/>
      <c r="P87" s="907"/>
      <c r="Q87" s="907"/>
      <c r="R87" s="907"/>
      <c r="S87" s="907"/>
      <c r="T87" s="907"/>
      <c r="U87" s="907"/>
      <c r="V87" s="907"/>
      <c r="W87" s="915"/>
    </row>
    <row r="88" spans="1:23" ht="18" customHeight="1">
      <c r="A88" s="799" t="s">
        <v>403</v>
      </c>
      <c r="B88" s="1147"/>
      <c r="C88" s="1123"/>
      <c r="D88" s="1124"/>
      <c r="E88" s="860" t="s">
        <v>404</v>
      </c>
      <c r="F88" s="863">
        <f>IFERROR(SUM(H88:W88),0)</f>
        <v>488508.26199999993</v>
      </c>
      <c r="G88" s="864">
        <f>IFERROR(F88/(1+增值税适用税率),0)</f>
        <v>448172.71743119258</v>
      </c>
      <c r="H88" s="835">
        <f t="shared" ref="H88:W88" si="64">IFERROR(H57+H71+H63,0)</f>
        <v>0</v>
      </c>
      <c r="I88" s="835">
        <f t="shared" si="64"/>
        <v>0</v>
      </c>
      <c r="J88" s="835">
        <f>IFERROR(J57+J71+J63,0)</f>
        <v>57623.635439999991</v>
      </c>
      <c r="K88" s="835">
        <f t="shared" si="64"/>
        <v>48019.696200000006</v>
      </c>
      <c r="L88" s="835">
        <f t="shared" si="64"/>
        <v>62425.605060000009</v>
      </c>
      <c r="M88" s="835">
        <f t="shared" si="64"/>
        <v>48407.761200000001</v>
      </c>
      <c r="N88" s="835">
        <f t="shared" si="64"/>
        <v>48407.761200000001</v>
      </c>
      <c r="O88" s="835">
        <f t="shared" si="64"/>
        <v>48407.761200000001</v>
      </c>
      <c r="P88" s="835">
        <f t="shared" si="64"/>
        <v>62813.670060000004</v>
      </c>
      <c r="Q88" s="835">
        <f t="shared" si="64"/>
        <v>38803.821960000001</v>
      </c>
      <c r="R88" s="835">
        <f t="shared" si="64"/>
        <v>25724.043100000003</v>
      </c>
      <c r="S88" s="835">
        <f t="shared" si="64"/>
        <v>20372.073479999999</v>
      </c>
      <c r="T88" s="835">
        <f t="shared" si="64"/>
        <v>15570.103859999997</v>
      </c>
      <c r="U88" s="835">
        <f t="shared" si="64"/>
        <v>10768.134239999999</v>
      </c>
      <c r="V88" s="835">
        <f t="shared" si="64"/>
        <v>776.13000000000011</v>
      </c>
      <c r="W88" s="835">
        <f t="shared" si="64"/>
        <v>388.06500000000005</v>
      </c>
    </row>
    <row r="89" spans="1:23" ht="18" customHeight="1">
      <c r="A89" s="789" t="s">
        <v>405</v>
      </c>
      <c r="B89" s="1148"/>
      <c r="C89" s="1125"/>
      <c r="D89" s="1126"/>
      <c r="E89" s="865" t="s">
        <v>406</v>
      </c>
      <c r="F89" s="863">
        <f>IFERROR(SUM(H89:W89),0)</f>
        <v>488508.26200000005</v>
      </c>
      <c r="G89" s="864">
        <f>IFERROR(F89/(1+增值税适用税率),0)</f>
        <v>448172.71743119269</v>
      </c>
      <c r="H89" s="842">
        <f t="shared" ref="H89:W89" si="65">IFERROR(H73+SUM(H80:H84)+H65,0)</f>
        <v>0</v>
      </c>
      <c r="I89" s="842">
        <f t="shared" si="65"/>
        <v>0</v>
      </c>
      <c r="J89" s="842">
        <f t="shared" si="65"/>
        <v>23404.882176000003</v>
      </c>
      <c r="K89" s="842">
        <f t="shared" si="65"/>
        <v>19504.068480000005</v>
      </c>
      <c r="L89" s="842">
        <f t="shared" si="65"/>
        <v>25355.289024000002</v>
      </c>
      <c r="M89" s="842">
        <f t="shared" si="65"/>
        <v>148212.45822</v>
      </c>
      <c r="N89" s="842">
        <f t="shared" si="65"/>
        <v>48407.761200000001</v>
      </c>
      <c r="O89" s="842">
        <f t="shared" si="65"/>
        <v>48407.761200000001</v>
      </c>
      <c r="P89" s="842">
        <f t="shared" si="65"/>
        <v>62813.670060000004</v>
      </c>
      <c r="Q89" s="842">
        <f t="shared" si="65"/>
        <v>38803.821960000001</v>
      </c>
      <c r="R89" s="842">
        <f t="shared" si="65"/>
        <v>25724.043100000003</v>
      </c>
      <c r="S89" s="842">
        <f t="shared" si="65"/>
        <v>20372.073479999999</v>
      </c>
      <c r="T89" s="842">
        <f t="shared" si="65"/>
        <v>15570.103859999997</v>
      </c>
      <c r="U89" s="842">
        <f t="shared" si="65"/>
        <v>10768.134239999999</v>
      </c>
      <c r="V89" s="842">
        <f t="shared" si="65"/>
        <v>776.13000000000011</v>
      </c>
      <c r="W89" s="842">
        <f t="shared" si="65"/>
        <v>388.06500000000005</v>
      </c>
    </row>
    <row r="90" spans="1:23" ht="28.15" customHeight="1">
      <c r="A90" s="799" t="s">
        <v>407</v>
      </c>
      <c r="B90" s="866" t="s">
        <v>408</v>
      </c>
      <c r="C90" s="1151" t="s">
        <v>409</v>
      </c>
      <c r="D90" s="1098"/>
      <c r="E90" s="754" t="s">
        <v>410</v>
      </c>
      <c r="F90" s="800">
        <f>IFERROR(SUM(H90:W90),0)</f>
        <v>11235.690026</v>
      </c>
      <c r="G90" s="856"/>
      <c r="H90" s="835">
        <f t="shared" ref="H90:W90" si="66">IFERROR(H75+H59+H67,0)</f>
        <v>0</v>
      </c>
      <c r="I90" s="835">
        <f t="shared" si="66"/>
        <v>0</v>
      </c>
      <c r="J90" s="835">
        <f t="shared" si="66"/>
        <v>538.31229004800002</v>
      </c>
      <c r="K90" s="835">
        <f t="shared" si="66"/>
        <v>448.59357504000008</v>
      </c>
      <c r="L90" s="835">
        <f t="shared" si="66"/>
        <v>583.17164755200008</v>
      </c>
      <c r="M90" s="835">
        <f t="shared" si="66"/>
        <v>3408.8865390600008</v>
      </c>
      <c r="N90" s="835">
        <f t="shared" si="66"/>
        <v>1113.3785076000001</v>
      </c>
      <c r="O90" s="835">
        <f t="shared" si="66"/>
        <v>1113.3785076000001</v>
      </c>
      <c r="P90" s="835">
        <f t="shared" si="66"/>
        <v>1444.71441138</v>
      </c>
      <c r="Q90" s="835">
        <f t="shared" si="66"/>
        <v>892.48790508000002</v>
      </c>
      <c r="R90" s="835">
        <f t="shared" si="66"/>
        <v>591.65299130000005</v>
      </c>
      <c r="S90" s="835">
        <f t="shared" si="66"/>
        <v>468.55769004000007</v>
      </c>
      <c r="T90" s="835">
        <f t="shared" si="66"/>
        <v>358.11238878</v>
      </c>
      <c r="U90" s="835">
        <f t="shared" si="66"/>
        <v>247.66708752000002</v>
      </c>
      <c r="V90" s="835">
        <f t="shared" si="66"/>
        <v>17.850990000000003</v>
      </c>
      <c r="W90" s="835">
        <f t="shared" si="66"/>
        <v>8.9254950000000015</v>
      </c>
    </row>
    <row r="91" spans="1:23" ht="18" customHeight="1">
      <c r="A91" s="789" t="s">
        <v>411</v>
      </c>
      <c r="B91" s="867" t="s">
        <v>412</v>
      </c>
      <c r="C91" s="1152" t="s">
        <v>413</v>
      </c>
      <c r="D91" s="1107"/>
      <c r="E91" s="868" t="s">
        <v>414</v>
      </c>
      <c r="F91" s="809">
        <f>IFERROR(SUM(H91:W91),0)</f>
        <v>7279.186039392087</v>
      </c>
      <c r="G91" s="395"/>
      <c r="H91" s="842">
        <f>IFERROR(IF(COLUMN()&lt;=19,H89/(1+增值税适用税率)*增值税预交税率-H108,IF(COLUMN()=23,MAX($F85-SUM(G91:$H91),0),0)),0)</f>
        <v>0</v>
      </c>
      <c r="I91" s="842">
        <f>IFERROR(IF(COLUMN()&lt;=19,I89/(1+增值税适用税率)*增值税预交税率-I108,IF(COLUMN()=23,MAX($F85-SUM(H91:$H91),0),0)),0)</f>
        <v>0</v>
      </c>
      <c r="J91" s="842">
        <f>IFERROR(IF(COLUMN()&lt;=19,J89/(1+增值税适用税率)*增值税预交税率-J108,IF(COLUMN()=23,MAX($F85-SUM($H91:I91),0),0)),0)</f>
        <v>644.17106906422021</v>
      </c>
      <c r="K91" s="842">
        <f>IFERROR(IF(COLUMN()&lt;=19,K89/(1+增值税适用税率)*增值税预交税率-K108,IF(COLUMN()=23,MAX($F85-SUM($H91:J91),0),0)),0)</f>
        <v>536.80922422018352</v>
      </c>
      <c r="L91" s="842">
        <f>IFERROR(IF(COLUMN()&lt;=19,L89/(1+增值税适用税率)*增值税预交税率-L108,IF(COLUMN()=23,MAX($F85-SUM($H91:K91),0),0)),0)</f>
        <v>697.85199148623849</v>
      </c>
      <c r="M91" s="842">
        <f>IFERROR(IF(COLUMN()&lt;=19,M89/(1+增值税适用税率)*增值税预交税率-M108,IF(COLUMN()=23,MAX($F85-SUM($H91:L91),0),0)),0)</f>
        <v>4079.2419693577981</v>
      </c>
      <c r="N91" s="842">
        <f>IFERROR(IF(COLUMN()&lt;=19,N89/(1+增值税适用税率)*增值税预交税率-N108,IF(COLUMN()=23,MAX($F85-SUM($H91:M91),0),0)),0)</f>
        <v>1332.3237027522935</v>
      </c>
      <c r="O91" s="842">
        <f>IFERROR(IF(COLUMN()&lt;=19,O89/(1+增值税适用税率)*增值税预交税率-O108,IF(COLUMN()=23,MAX($F85-SUM($H91:N91),0),0)),0)</f>
        <v>-2246.6977519801076</v>
      </c>
      <c r="P91" s="842">
        <f>IFERROR(IF(COLUMN()&lt;=19,P89/(1+增值税适用税率)*增值税预交税率-P108,IF(COLUMN()=23,MAX($F85-SUM($H91:O91),0),0)),0)</f>
        <v>1728.8166071559631</v>
      </c>
      <c r="Q91" s="842">
        <f>IFERROR(IF(COLUMN()&lt;=19,Q89/(1+增值税适用税率)*增值税预交税率-Q108,IF(COLUMN()=23,MAX($F85-SUM($H91:P91),0),0)),0)</f>
        <v>-1308.7435687389466</v>
      </c>
      <c r="R91" s="842">
        <f>IFERROR(IF(COLUMN()&lt;=19,R89/(1+增值税适用税率)*增值税预交税率-R108,IF(COLUMN()=23,MAX($F85-SUM($H91:Q91),0),0)),0)</f>
        <v>708.00118623853211</v>
      </c>
      <c r="S91" s="842">
        <f>IFERROR(IF(COLUMN()&lt;=19,S89/(1+增值税适用税率)*增值税预交税率-S108,IF(COLUMN()=23,MAX($F85-SUM($H91:R91),0),0)),0)</f>
        <v>-1367.1530277827258</v>
      </c>
      <c r="T91" s="842">
        <f>IFERROR(IF(COLUMN()&lt;=19,T89/(1+增值税适用税率)*增值税预交税率-T108,IF(COLUMN()=23,MAX($F85-SUM($H91:S91),0),0)),0)</f>
        <v>0</v>
      </c>
      <c r="U91" s="842">
        <f>IFERROR(IF(COLUMN()&lt;=19,U89/(1+增值税适用税率)*增值税预交税率-U108,IF(COLUMN()=23,MAX($F85-SUM($H91:T91),0),0)),0)</f>
        <v>0</v>
      </c>
      <c r="V91" s="842">
        <f>IFERROR(IF(COLUMN()&lt;=19,V89/(1+增值税适用税率)*增值税预交税率-V108,IF(COLUMN()=23,MAX($F85-SUM($H91:U91),0),0)),0)</f>
        <v>0</v>
      </c>
      <c r="W91" s="842">
        <f>IFERROR(IF(COLUMN()&lt;=19,W89/(1+增值税适用税率)*增值税预交税率-W108,IF(COLUMN()=23,MAX($F85-SUM($H91:V91),0),0)),0)</f>
        <v>2474.5646376186387</v>
      </c>
    </row>
    <row r="92" spans="1:23" ht="28.15" customHeight="1">
      <c r="A92" s="869" t="s">
        <v>415</v>
      </c>
      <c r="B92" s="870" t="s">
        <v>416</v>
      </c>
      <c r="C92" s="1153" t="s">
        <v>417</v>
      </c>
      <c r="D92" s="1153"/>
      <c r="E92" s="871" t="s">
        <v>417</v>
      </c>
      <c r="F92" s="779">
        <f>IFERROR(SUM(H92:W92),0)</f>
        <v>488508.26199999999</v>
      </c>
      <c r="G92" s="781">
        <f>IFERROR(F92/(1+增值税适用税率),0)</f>
        <v>448172.71743119264</v>
      </c>
      <c r="H92" s="872">
        <f t="shared" ref="H92:W92" si="67">IFERROR(H89+H102-H101,0)</f>
        <v>0</v>
      </c>
      <c r="I92" s="872">
        <f t="shared" si="67"/>
        <v>0</v>
      </c>
      <c r="J92" s="872">
        <f>IFERROR(J89+J102-J101,0)</f>
        <v>23404.882176000003</v>
      </c>
      <c r="K92" s="872">
        <f t="shared" si="67"/>
        <v>19504.068480000005</v>
      </c>
      <c r="L92" s="872">
        <f t="shared" si="67"/>
        <v>25355.289024000002</v>
      </c>
      <c r="M92" s="872">
        <f t="shared" si="67"/>
        <v>148212.45822</v>
      </c>
      <c r="N92" s="872">
        <f t="shared" si="67"/>
        <v>13107.629175999988</v>
      </c>
      <c r="O92" s="872">
        <f t="shared" si="67"/>
        <v>57232.794206000006</v>
      </c>
      <c r="P92" s="872">
        <f t="shared" si="67"/>
        <v>62813.670060000004</v>
      </c>
      <c r="Q92" s="872">
        <f t="shared" si="67"/>
        <v>38803.821960000001</v>
      </c>
      <c r="R92" s="872">
        <f t="shared" si="67"/>
        <v>25724.043100000003</v>
      </c>
      <c r="S92" s="872">
        <f t="shared" si="67"/>
        <v>42434.655995000001</v>
      </c>
      <c r="T92" s="872">
        <f t="shared" si="67"/>
        <v>19982.620362999998</v>
      </c>
      <c r="U92" s="872">
        <f t="shared" si="67"/>
        <v>10768.134239999999</v>
      </c>
      <c r="V92" s="872">
        <f t="shared" si="67"/>
        <v>776.13000000000011</v>
      </c>
      <c r="W92" s="872">
        <f t="shared" si="67"/>
        <v>388.06500000000187</v>
      </c>
    </row>
    <row r="93" spans="1:23">
      <c r="A93" s="195"/>
      <c r="B93" s="873" t="s">
        <v>418</v>
      </c>
      <c r="C93" s="874"/>
      <c r="D93" s="874"/>
      <c r="E93" s="875"/>
      <c r="F93" s="876"/>
      <c r="G93" s="876"/>
      <c r="H93" s="877"/>
      <c r="I93" s="877"/>
      <c r="J93" s="877"/>
      <c r="K93" s="877"/>
    </row>
    <row r="94" spans="1:23">
      <c r="A94" s="195"/>
      <c r="B94" s="878"/>
      <c r="C94" s="874"/>
      <c r="D94" s="874"/>
      <c r="E94" s="875"/>
      <c r="F94" s="876">
        <f>F89-F26</f>
        <v>13247.800000000105</v>
      </c>
      <c r="G94" s="876"/>
      <c r="H94" s="877"/>
      <c r="I94" s="877"/>
      <c r="J94" s="877"/>
      <c r="K94" s="877"/>
    </row>
    <row r="95" spans="1:23">
      <c r="A95" s="195"/>
      <c r="B95" s="878"/>
      <c r="C95" s="874"/>
      <c r="D95" s="874"/>
      <c r="E95" s="875"/>
      <c r="F95" s="876"/>
      <c r="G95" s="876"/>
      <c r="H95" s="877"/>
      <c r="I95" s="877"/>
      <c r="J95" s="877"/>
      <c r="K95" s="877"/>
    </row>
    <row r="96" spans="1:23">
      <c r="A96" s="195"/>
      <c r="B96" s="878"/>
      <c r="C96" s="874"/>
      <c r="D96" s="874"/>
      <c r="E96" s="875"/>
      <c r="F96" s="876"/>
      <c r="G96" s="876"/>
      <c r="H96" s="877"/>
      <c r="I96" s="877"/>
      <c r="J96" s="877"/>
      <c r="K96" s="877"/>
    </row>
    <row r="97" spans="1:23" ht="18" customHeight="1">
      <c r="A97" s="879" t="s">
        <v>419</v>
      </c>
      <c r="B97" s="1109">
        <v>1</v>
      </c>
      <c r="C97" s="1137" t="s">
        <v>420</v>
      </c>
      <c r="D97" s="1138"/>
      <c r="E97" s="880" t="s">
        <v>421</v>
      </c>
      <c r="F97" s="881">
        <f>IFERROR(IF(规划指标!E26=0,0,MAX(规划指标!D26*0.5,规划指标!E26*$F24*10%/10000)),0)</f>
        <v>88250.330060000008</v>
      </c>
      <c r="G97" s="882"/>
      <c r="H97" s="883"/>
      <c r="I97" s="911"/>
      <c r="J97" s="911"/>
      <c r="K97" s="911"/>
      <c r="L97" s="912"/>
      <c r="M97" s="912"/>
      <c r="N97" s="912"/>
      <c r="O97" s="912"/>
      <c r="P97" s="912"/>
      <c r="Q97" s="912"/>
      <c r="R97" s="912"/>
      <c r="S97" s="912"/>
      <c r="T97" s="912"/>
      <c r="U97" s="912"/>
      <c r="V97" s="912"/>
      <c r="W97" s="919"/>
    </row>
    <row r="98" spans="1:23" ht="18" customHeight="1">
      <c r="A98" s="884" t="s">
        <v>422</v>
      </c>
      <c r="B98" s="1110"/>
      <c r="C98" s="1135"/>
      <c r="D98" s="1136"/>
      <c r="E98" s="885" t="s">
        <v>423</v>
      </c>
      <c r="F98" s="886">
        <f>IFERROR(SUM(H98:W98),0)</f>
        <v>88250.330060000008</v>
      </c>
      <c r="G98" s="887"/>
      <c r="H98" s="888">
        <f>IFERROR(IF(SUM($G98:G98)&gt;=$F97,0,IF(SUM($H23:H23)&gt;$F23/2,$F97,0)),0)</f>
        <v>0</v>
      </c>
      <c r="I98" s="888">
        <f>IFERROR(IF(SUM($G98:H98)&gt;=$F97,0,IF(SUM($H23:I23)&gt;$F23/2,$F97,0)),0)</f>
        <v>0</v>
      </c>
      <c r="J98" s="888">
        <f>IFERROR(IF(SUM($G98:I98)&gt;=$F97,0,IF(SUM($H23:J23)&gt;$F23/2,$F97,0)),0)</f>
        <v>0</v>
      </c>
      <c r="K98" s="888">
        <f>IFERROR(IF(SUM($G98:J98)&gt;=$F97,0,IF(SUM($H23:K23)&gt;$F23/2,$F97,0)),0)</f>
        <v>0</v>
      </c>
      <c r="L98" s="888">
        <f>IFERROR(IF(SUM($G98:K98)&gt;=$F97,0,IF(SUM($H23:L23)&gt;$F23/2,$F97,0)),0)</f>
        <v>0</v>
      </c>
      <c r="M98" s="888">
        <f>IFERROR(IF(SUM($G98:L98)&gt;=$F97,0,IF(SUM($H23:M23)&gt;$F23/2,$F97,0)),0)</f>
        <v>0</v>
      </c>
      <c r="N98" s="888">
        <f>IFERROR(IF(SUM($G98:M98)&gt;=$F97,0,IF(SUM($H23:N23)&gt;$F23/2,$F97,0)),0)</f>
        <v>88250.330060000008</v>
      </c>
      <c r="O98" s="888">
        <f>IFERROR(IF(SUM($G98:N98)&gt;=$F97,0,IF(SUM($H23:O23)&gt;$F23/2,$F97,0)),0)</f>
        <v>0</v>
      </c>
      <c r="P98" s="888">
        <f>IFERROR(IF(SUM($G98:O98)&gt;=$F97,0,IF(SUM($H23:P23)&gt;$F23/2,$F97,0)),0)</f>
        <v>0</v>
      </c>
      <c r="Q98" s="888">
        <f>IFERROR(IF(SUM($G98:P98)&gt;=$F97,0,IF(SUM($H23:Q23)&gt;$F23/2,$F97,0)),0)</f>
        <v>0</v>
      </c>
      <c r="R98" s="888">
        <f>IFERROR(IF(SUM($G98:Q98)&gt;=$F97,0,IF(SUM($H23:R23)&gt;$F23/2,$F97,0)),0)</f>
        <v>0</v>
      </c>
      <c r="S98" s="888">
        <f>IFERROR(IF(SUM($G98:R98)&gt;=$F97,0,IF(SUM($H23:S23)&gt;$F23/2,$F97,0)),0)</f>
        <v>0</v>
      </c>
      <c r="T98" s="888">
        <f>IFERROR(IF(SUM($G98:S98)&gt;=$F97,0,IF(SUM($H23:T23)&gt;$F23/2,$F97,0)),0)</f>
        <v>0</v>
      </c>
      <c r="U98" s="888">
        <f>IFERROR(IF(SUM($G98:T98)&gt;=$F97,0,IF(SUM($H23:U23)&gt;$F23/2,$F97,0)),0)</f>
        <v>0</v>
      </c>
      <c r="V98" s="888">
        <f>IFERROR(IF(SUM($G98:U98)&gt;=$F97,0,IF(SUM($H23:V23)&gt;$F23/2,$F97,0)),0)</f>
        <v>0</v>
      </c>
      <c r="W98" s="888">
        <f>IFERROR(IF(SUM($G98:V98)&gt;=$F97,0,IF(SUM($H23:W23)&gt;$F23/2,$F97,0)),0)</f>
        <v>0</v>
      </c>
    </row>
    <row r="99" spans="1:23" ht="18" customHeight="1">
      <c r="A99" s="884" t="s">
        <v>424</v>
      </c>
      <c r="B99" s="1110"/>
      <c r="C99" s="1135"/>
      <c r="D99" s="1136"/>
      <c r="E99" s="868" t="s">
        <v>425</v>
      </c>
      <c r="F99" s="886">
        <f>IFERROR(SUM(H99:W99),0)</f>
        <v>88250.330060000008</v>
      </c>
      <c r="G99" s="887"/>
      <c r="H99" s="889">
        <f>IFERROR(IF(COLUMN()=23,IF(G100&gt;0,G100,0),0),0)</f>
        <v>0</v>
      </c>
      <c r="I99" s="889">
        <f>IFERROR(IF(COLUMN()=23,IF(H100&gt;0,H100,0),0),0)</f>
        <v>0</v>
      </c>
      <c r="J99" s="889">
        <f>IF(J98+I100&gt;$F97*40%,$F97*40%,0)</f>
        <v>0</v>
      </c>
      <c r="K99" s="889">
        <f>IF(SUM($G99:J99)&gt;=$F97*40%,$F97*10%,IF(K98+J100&gt;$F97*50%,$F97*50%,0))</f>
        <v>0</v>
      </c>
      <c r="L99" s="889">
        <f>IFERROR(IF(COLUMN()=23,IF(K100&gt;0,K100,0),0),0)</f>
        <v>0</v>
      </c>
      <c r="M99" s="889">
        <f>IFERROR(IF(COLUMN()=23,IF(L100&gt;0,L100,0),0),0)</f>
        <v>0</v>
      </c>
      <c r="N99" s="889">
        <f>IF(SUM($G99:M99)&gt;=$F97*50%,$F97*10%,IF(N98+M100&gt;$F97*60%,$F97*60%,0))</f>
        <v>52950.198036000002</v>
      </c>
      <c r="O99" s="889">
        <f>IF(SUM($G99:N99)&gt;=$F97*60%,$F97*10%,IF(O98+N100&gt;$F97*70%,$F97*70%,0))</f>
        <v>8825.0330060000015</v>
      </c>
      <c r="P99" s="889">
        <f>IFERROR(IF(COLUMN()=23,IF(O100&gt;0,O100,0),0),0)</f>
        <v>0</v>
      </c>
      <c r="Q99" s="889">
        <f>IFERROR(IF(COLUMN()=23,IF(P100&gt;0,P100,0),0),0)</f>
        <v>0</v>
      </c>
      <c r="R99" s="889">
        <f>IFERROR(IF(COLUMN()=23,IF(Q100&gt;0,Q100,0),0),0)</f>
        <v>0</v>
      </c>
      <c r="S99" s="889">
        <f>IF(SUM($G99:R99)&gt;=$F97*70%,$F97*25%,IF(S98+R100&gt;$F97*95%,$F97*95%,0))</f>
        <v>22062.582515000002</v>
      </c>
      <c r="T99" s="889">
        <f>IF(SUM($G99:S99)&gt;=$F97*95%,$F97*5%,IF(T98+S100&gt;$F97,$F97,T98+S100))</f>
        <v>4412.5165030000007</v>
      </c>
      <c r="U99" s="889">
        <f>IFERROR(IF(COLUMN()=23,IF(T100&gt;0,T100,0),0),0)</f>
        <v>0</v>
      </c>
      <c r="V99" s="889">
        <f>IFERROR(IF(COLUMN()=23,IF(U100&gt;0,U100,0),0),0)</f>
        <v>0</v>
      </c>
      <c r="W99" s="889">
        <f>IFERROR(IF(COLUMN()=23,IF(V100&gt;0,V100,0),0),0)</f>
        <v>1.8189894035458565E-12</v>
      </c>
    </row>
    <row r="100" spans="1:23" ht="18" customHeight="1">
      <c r="A100" s="799" t="s">
        <v>426</v>
      </c>
      <c r="B100" s="1110"/>
      <c r="C100" s="1139"/>
      <c r="D100" s="1140"/>
      <c r="E100" s="885" t="s">
        <v>427</v>
      </c>
      <c r="F100" s="890">
        <f>IFERROR(F98-F99,0)</f>
        <v>0</v>
      </c>
      <c r="G100" s="891"/>
      <c r="H100" s="892">
        <f t="shared" ref="H100:W100" si="68">IFERROR(H98-H99+G100,0)</f>
        <v>0</v>
      </c>
      <c r="I100" s="892">
        <f t="shared" si="68"/>
        <v>0</v>
      </c>
      <c r="J100" s="892">
        <f t="shared" si="68"/>
        <v>0</v>
      </c>
      <c r="K100" s="892">
        <f t="shared" si="68"/>
        <v>0</v>
      </c>
      <c r="L100" s="892">
        <f t="shared" si="68"/>
        <v>0</v>
      </c>
      <c r="M100" s="892">
        <f t="shared" si="68"/>
        <v>0</v>
      </c>
      <c r="N100" s="892">
        <f t="shared" si="68"/>
        <v>35300.132024000006</v>
      </c>
      <c r="O100" s="892">
        <f t="shared" si="68"/>
        <v>26475.099018000004</v>
      </c>
      <c r="P100" s="892">
        <f t="shared" si="68"/>
        <v>26475.099018000004</v>
      </c>
      <c r="Q100" s="892">
        <f t="shared" si="68"/>
        <v>26475.099018000004</v>
      </c>
      <c r="R100" s="892">
        <f t="shared" si="68"/>
        <v>26475.099018000004</v>
      </c>
      <c r="S100" s="892">
        <f t="shared" si="68"/>
        <v>4412.5165030000026</v>
      </c>
      <c r="T100" s="892">
        <f t="shared" si="68"/>
        <v>1.8189894035458565E-12</v>
      </c>
      <c r="U100" s="892">
        <f t="shared" si="68"/>
        <v>1.8189894035458565E-12</v>
      </c>
      <c r="V100" s="892">
        <f t="shared" si="68"/>
        <v>1.8189894035458565E-12</v>
      </c>
      <c r="W100" s="892">
        <f t="shared" si="68"/>
        <v>0</v>
      </c>
    </row>
    <row r="101" spans="1:23" ht="18" customHeight="1">
      <c r="A101" s="789" t="s">
        <v>428</v>
      </c>
      <c r="B101" s="1110"/>
      <c r="C101" s="1127" t="s">
        <v>429</v>
      </c>
      <c r="D101" s="1128"/>
      <c r="E101" s="868" t="s">
        <v>430</v>
      </c>
      <c r="F101" s="893">
        <f>IFERROR(F98,0)</f>
        <v>88250.330060000008</v>
      </c>
      <c r="G101" s="894"/>
      <c r="H101" s="895">
        <f t="shared" ref="H101:W101" si="69">IFERROR(H98,0)</f>
        <v>0</v>
      </c>
      <c r="I101" s="895">
        <f t="shared" si="69"/>
        <v>0</v>
      </c>
      <c r="J101" s="895">
        <f t="shared" si="69"/>
        <v>0</v>
      </c>
      <c r="K101" s="895">
        <f t="shared" si="69"/>
        <v>0</v>
      </c>
      <c r="L101" s="895">
        <f t="shared" si="69"/>
        <v>0</v>
      </c>
      <c r="M101" s="895">
        <f t="shared" si="69"/>
        <v>0</v>
      </c>
      <c r="N101" s="895">
        <f t="shared" si="69"/>
        <v>88250.330060000008</v>
      </c>
      <c r="O101" s="895">
        <f t="shared" si="69"/>
        <v>0</v>
      </c>
      <c r="P101" s="895">
        <f t="shared" si="69"/>
        <v>0</v>
      </c>
      <c r="Q101" s="895">
        <f t="shared" si="69"/>
        <v>0</v>
      </c>
      <c r="R101" s="895">
        <f t="shared" si="69"/>
        <v>0</v>
      </c>
      <c r="S101" s="895">
        <f t="shared" si="69"/>
        <v>0</v>
      </c>
      <c r="T101" s="895">
        <f t="shared" si="69"/>
        <v>0</v>
      </c>
      <c r="U101" s="895">
        <f t="shared" si="69"/>
        <v>0</v>
      </c>
      <c r="V101" s="895">
        <f t="shared" si="69"/>
        <v>0</v>
      </c>
      <c r="W101" s="895">
        <f t="shared" si="69"/>
        <v>0</v>
      </c>
    </row>
    <row r="102" spans="1:23" ht="18" customHeight="1">
      <c r="A102" s="799" t="s">
        <v>431</v>
      </c>
      <c r="B102" s="1110"/>
      <c r="C102" s="1129"/>
      <c r="D102" s="1130"/>
      <c r="E102" s="885" t="s">
        <v>432</v>
      </c>
      <c r="F102" s="890">
        <f>IFERROR(F99,0)</f>
        <v>88250.330060000008</v>
      </c>
      <c r="G102" s="891"/>
      <c r="H102" s="896">
        <f t="shared" ref="H102:W102" si="70">IFERROR(H99,0)</f>
        <v>0</v>
      </c>
      <c r="I102" s="896">
        <f t="shared" si="70"/>
        <v>0</v>
      </c>
      <c r="J102" s="896">
        <f t="shared" si="70"/>
        <v>0</v>
      </c>
      <c r="K102" s="896">
        <f t="shared" si="70"/>
        <v>0</v>
      </c>
      <c r="L102" s="896">
        <f t="shared" si="70"/>
        <v>0</v>
      </c>
      <c r="M102" s="896">
        <f t="shared" si="70"/>
        <v>0</v>
      </c>
      <c r="N102" s="896">
        <f t="shared" si="70"/>
        <v>52950.198036000002</v>
      </c>
      <c r="O102" s="896">
        <f t="shared" si="70"/>
        <v>8825.0330060000015</v>
      </c>
      <c r="P102" s="896">
        <f t="shared" si="70"/>
        <v>0</v>
      </c>
      <c r="Q102" s="896">
        <f t="shared" si="70"/>
        <v>0</v>
      </c>
      <c r="R102" s="896">
        <f t="shared" si="70"/>
        <v>0</v>
      </c>
      <c r="S102" s="896">
        <f t="shared" si="70"/>
        <v>22062.582515000002</v>
      </c>
      <c r="T102" s="896">
        <f t="shared" si="70"/>
        <v>4412.5165030000007</v>
      </c>
      <c r="U102" s="896">
        <f t="shared" si="70"/>
        <v>0</v>
      </c>
      <c r="V102" s="896">
        <f t="shared" si="70"/>
        <v>0</v>
      </c>
      <c r="W102" s="896">
        <f t="shared" si="70"/>
        <v>1.8189894035458565E-12</v>
      </c>
    </row>
    <row r="103" spans="1:23" ht="18" customHeight="1">
      <c r="A103" s="789" t="s">
        <v>433</v>
      </c>
      <c r="B103" s="1111"/>
      <c r="C103" s="1131"/>
      <c r="D103" s="1132"/>
      <c r="E103" s="868" t="s">
        <v>434</v>
      </c>
      <c r="F103" s="893">
        <f>IFERROR(F101-F102,0)</f>
        <v>0</v>
      </c>
      <c r="G103" s="894"/>
      <c r="H103" s="897">
        <f t="shared" ref="H103:W103" si="71">IFERROR(H101-H102+G103,0)</f>
        <v>0</v>
      </c>
      <c r="I103" s="897">
        <f t="shared" si="71"/>
        <v>0</v>
      </c>
      <c r="J103" s="897">
        <f t="shared" si="71"/>
        <v>0</v>
      </c>
      <c r="K103" s="897">
        <f t="shared" si="71"/>
        <v>0</v>
      </c>
      <c r="L103" s="897">
        <f t="shared" si="71"/>
        <v>0</v>
      </c>
      <c r="M103" s="897">
        <f t="shared" si="71"/>
        <v>0</v>
      </c>
      <c r="N103" s="897">
        <f t="shared" si="71"/>
        <v>35300.132024000006</v>
      </c>
      <c r="O103" s="897">
        <f t="shared" si="71"/>
        <v>26475.099018000004</v>
      </c>
      <c r="P103" s="897">
        <f t="shared" si="71"/>
        <v>26475.099018000004</v>
      </c>
      <c r="Q103" s="897">
        <f t="shared" si="71"/>
        <v>26475.099018000004</v>
      </c>
      <c r="R103" s="897">
        <f t="shared" si="71"/>
        <v>26475.099018000004</v>
      </c>
      <c r="S103" s="897">
        <f t="shared" si="71"/>
        <v>4412.5165030000026</v>
      </c>
      <c r="T103" s="897">
        <f t="shared" si="71"/>
        <v>1.8189894035458565E-12</v>
      </c>
      <c r="U103" s="897">
        <f t="shared" si="71"/>
        <v>1.8189894035458565E-12</v>
      </c>
      <c r="V103" s="897">
        <f t="shared" si="71"/>
        <v>1.8189894035458565E-12</v>
      </c>
      <c r="W103" s="897">
        <f t="shared" si="71"/>
        <v>0</v>
      </c>
    </row>
    <row r="104" spans="1:23" ht="18" customHeight="1">
      <c r="A104" s="884" t="s">
        <v>435</v>
      </c>
      <c r="B104" s="1112">
        <v>2</v>
      </c>
      <c r="C104" s="1133" t="s">
        <v>436</v>
      </c>
      <c r="D104" s="1134"/>
      <c r="E104" s="898" t="s">
        <v>437</v>
      </c>
      <c r="F104" s="886">
        <f>IFERROR(SUM(H104:W104),0)</f>
        <v>9624.2655596638706</v>
      </c>
      <c r="G104" s="887">
        <f>IFERROR(规划指标!D26/总建筑面积,0)</f>
        <v>1</v>
      </c>
      <c r="H104" s="888">
        <f>IFERROR((成本构成!AG17*$G$104+成本构成!AG28*(1+监理费比例)+成本构成!AG46*$G$104+成本构成!AG47*$G$104+成本构成!AG53*(1+监理费比例))/(1+增值税适用税率)*增值税适用税率,0)</f>
        <v>248.47730546251378</v>
      </c>
      <c r="I104" s="888">
        <f>IFERROR((成本构成!AH17*$G$104+成本构成!AH28*(1+监理费比例)+成本构成!AH46*$G$104+成本构成!AH47*$G$104+成本构成!AH53*(1+监理费比例))/(1+增值税适用税率)*增值税适用税率,0)</f>
        <v>990.90801911232199</v>
      </c>
      <c r="J104" s="888">
        <f>IFERROR((成本构成!AI17*$G$104+成本构成!AI28*(1+监理费比例)+成本构成!AI46*$G$104+成本构成!AI47*$G$104+成本构成!AI53*(1+监理费比例))/(1+增值税适用税率)*增值税适用税率,0)</f>
        <v>787.60840555208335</v>
      </c>
      <c r="K104" s="888">
        <f>IFERROR((成本构成!AJ17*$G$104+成本构成!AJ28*(1+监理费比例)+成本构成!AJ46*$G$104+成本构成!AJ47*$G$104+成本构成!AJ53*(1+监理费比例))/(1+增值税适用税率)*增值税适用税率,0)</f>
        <v>787.60840555208335</v>
      </c>
      <c r="L104" s="888">
        <f>IFERROR((成本构成!AK17*$G$104+成本构成!AK28*(1+监理费比例)+成本构成!AK46*$G$104+成本构成!AK47*$G$104+成本构成!AK53*(1+监理费比例))/(1+增值税适用税率)*增值税适用税率,0)</f>
        <v>787.60840555208335</v>
      </c>
      <c r="M104" s="888">
        <f>IFERROR((成本构成!AL17*$G$104+成本构成!AL28*(1+监理费比例)+成本构成!AL46*$G$104+成本构成!AL47*$G$104+成本构成!AL53*(1+监理费比例))/(1+增值税适用税率)*增值税适用税率,0)</f>
        <v>787.60840555208335</v>
      </c>
      <c r="N104" s="888">
        <f>IFERROR((成本构成!AM17*$G$104+成本构成!AM28*(1+监理费比例)+成本构成!AM46*$G$104+成本构成!AM47*$G$104+成本构成!AM53*(1+监理费比例))/(1+增值税适用税率)*增值税适用税率,0)</f>
        <v>787.60840555208335</v>
      </c>
      <c r="O104" s="888">
        <f>IFERROR((成本构成!AN17*$G$104+成本构成!AN28*(1+监理费比例)+成本构成!AN46*$G$104+成本构成!AN47*$G$104+成本构成!AN53*(1+监理费比例))/(1+增值税适用税率)*增值税适用税率,0)</f>
        <v>787.60840555208335</v>
      </c>
      <c r="P104" s="888">
        <f>IFERROR((成本构成!AO17*$G$104+成本构成!AO28*(1+监理费比例)+成本构成!AO46*$G$104+成本构成!AO47*$G$104+成本构成!AO53*(1+监理费比例))/(1+增值税适用税率)*增值税适用税率,0)</f>
        <v>787.60840555208335</v>
      </c>
      <c r="Q104" s="888">
        <f>IFERROR((成本构成!AP17*$G$104+成本构成!AP28*(1+监理费比例)+成本构成!AP46*$G$104+成本构成!AP47*$G$104+成本构成!AP53*(1+监理费比例))/(1+增值税适用税率)*增值税适用税率,0)</f>
        <v>787.60840555208335</v>
      </c>
      <c r="R104" s="888">
        <f>IFERROR((成本构成!AQ17*$G$104+成本构成!AQ28*(1+监理费比例)+成本构成!AQ46*$G$104+成本构成!AQ47*$G$104+成本构成!AQ53*(1+监理费比例))/(1+增值税适用税率)*增值税适用税率,0)</f>
        <v>782.23577090862238</v>
      </c>
      <c r="S104" s="888">
        <f>IFERROR((成本构成!AR17*$G$104+成本构成!AR28*(1+监理费比例)+成本构成!AR46*$G$104+成本构成!AR47*$G$104+成本构成!AR53*(1+监理费比例))/(1+增值税适用税率)*增值税适用税率,0)</f>
        <v>846.35894651185174</v>
      </c>
      <c r="T104" s="888">
        <f>IFERROR((成本构成!AS17*$G$104+成本构成!AS28*(1+监理费比例)+成本构成!AS46*$G$104+成本构成!AS47*$G$104+成本构成!AS53*(1+监理费比例))/(1+增值税适用税率)*增值税适用税率,0)</f>
        <v>0</v>
      </c>
      <c r="U104" s="888">
        <f>IFERROR((成本构成!AT17*$G$104+成本构成!AT28*(1+监理费比例)+成本构成!AT46*$G$104+成本构成!AT47*$G$104+成本构成!AT53*(1+监理费比例))/(1+增值税适用税率)*增值税适用税率,0)</f>
        <v>0</v>
      </c>
      <c r="V104" s="888">
        <f>IFERROR((成本构成!AU17*$G$104+成本构成!AU28*(1+监理费比例)+成本构成!AU46*$G$104+成本构成!AU47*$G$104+成本构成!AU53*(1+监理费比例))/(1+增值税适用税率)*增值税适用税率,0)</f>
        <v>0</v>
      </c>
      <c r="W104" s="888">
        <f>IFERROR((成本构成!AV17*$G$104+成本构成!AV28*(1+监理费比例)+成本构成!AV46*$G$104+成本构成!AV47*$G$104+成本构成!AV53*(1+监理费比例))/(1+增值税适用税率)*增值税适用税率,0)</f>
        <v>455.41827325189456</v>
      </c>
    </row>
    <row r="105" spans="1:23" ht="18" customHeight="1">
      <c r="A105" s="884" t="s">
        <v>438</v>
      </c>
      <c r="B105" s="1113"/>
      <c r="C105" s="1135"/>
      <c r="D105" s="1136"/>
      <c r="E105" s="471" t="s">
        <v>439</v>
      </c>
      <c r="F105" s="886">
        <f>IFERROR(F104,0)</f>
        <v>9624.2655596638706</v>
      </c>
      <c r="G105" s="887"/>
      <c r="H105" s="888">
        <f t="shared" ref="H105:W105" si="72">IFERROR(G105+H104-G107,0)</f>
        <v>248.47730546251378</v>
      </c>
      <c r="I105" s="888">
        <f t="shared" si="72"/>
        <v>1239.3853245748357</v>
      </c>
      <c r="J105" s="888">
        <f t="shared" si="72"/>
        <v>2026.9937301269192</v>
      </c>
      <c r="K105" s="888">
        <f t="shared" si="72"/>
        <v>2814.6021356790025</v>
      </c>
      <c r="L105" s="888">
        <f t="shared" si="72"/>
        <v>3602.2105412310857</v>
      </c>
      <c r="M105" s="888">
        <f t="shared" si="72"/>
        <v>4389.8189467831689</v>
      </c>
      <c r="N105" s="888">
        <f t="shared" si="72"/>
        <v>5177.4273523352522</v>
      </c>
      <c r="O105" s="888">
        <f t="shared" si="72"/>
        <v>5965.0357578873354</v>
      </c>
      <c r="P105" s="888">
        <f t="shared" si="72"/>
        <v>3173.6227087070174</v>
      </c>
      <c r="Q105" s="888">
        <f t="shared" si="72"/>
        <v>3961.2311142591007</v>
      </c>
      <c r="R105" s="888">
        <f t="shared" si="72"/>
        <v>2366.7282166122632</v>
      </c>
      <c r="S105" s="888">
        <f t="shared" si="72"/>
        <v>3213.0871631241148</v>
      </c>
      <c r="T105" s="888">
        <f t="shared" si="72"/>
        <v>1285.234865249646</v>
      </c>
      <c r="U105" s="888">
        <f t="shared" si="72"/>
        <v>1285.234865249646</v>
      </c>
      <c r="V105" s="888">
        <f t="shared" si="72"/>
        <v>1285.234865249646</v>
      </c>
      <c r="W105" s="888">
        <f t="shared" si="72"/>
        <v>1740.6531385015405</v>
      </c>
    </row>
    <row r="106" spans="1:23" ht="18" customHeight="1">
      <c r="A106" s="884" t="s">
        <v>440</v>
      </c>
      <c r="B106" s="1113"/>
      <c r="C106" s="1135"/>
      <c r="D106" s="1136"/>
      <c r="E106" s="898" t="s">
        <v>441</v>
      </c>
      <c r="F106" s="899">
        <v>0.6</v>
      </c>
      <c r="G106" s="900"/>
      <c r="H106" s="901">
        <f t="shared" ref="H106:W106" si="73">IFERROR(IF(COLUMN()&lt;15,0,IF(COLUMN()=15,$F106,IF(COLUMN()&lt;=19,IF(MOD(COLUMN()-15,2)=0,$F106,0),0))),0)</f>
        <v>0</v>
      </c>
      <c r="I106" s="901">
        <f t="shared" si="73"/>
        <v>0</v>
      </c>
      <c r="J106" s="901">
        <f t="shared" si="73"/>
        <v>0</v>
      </c>
      <c r="K106" s="901">
        <f t="shared" si="73"/>
        <v>0</v>
      </c>
      <c r="L106" s="901">
        <f t="shared" si="73"/>
        <v>0</v>
      </c>
      <c r="M106" s="901">
        <f t="shared" si="73"/>
        <v>0</v>
      </c>
      <c r="N106" s="901">
        <f t="shared" si="73"/>
        <v>0</v>
      </c>
      <c r="O106" s="901">
        <f t="shared" si="73"/>
        <v>0.6</v>
      </c>
      <c r="P106" s="901">
        <f t="shared" si="73"/>
        <v>0</v>
      </c>
      <c r="Q106" s="901">
        <f t="shared" si="73"/>
        <v>0.6</v>
      </c>
      <c r="R106" s="901">
        <f t="shared" si="73"/>
        <v>0</v>
      </c>
      <c r="S106" s="901">
        <f t="shared" si="73"/>
        <v>0.6</v>
      </c>
      <c r="T106" s="901">
        <f t="shared" si="73"/>
        <v>0</v>
      </c>
      <c r="U106" s="901">
        <f t="shared" si="73"/>
        <v>0</v>
      </c>
      <c r="V106" s="901">
        <f t="shared" si="73"/>
        <v>0</v>
      </c>
      <c r="W106" s="901">
        <f t="shared" si="73"/>
        <v>0</v>
      </c>
    </row>
    <row r="107" spans="1:23" ht="18" customHeight="1">
      <c r="A107" s="884" t="s">
        <v>442</v>
      </c>
      <c r="B107" s="1113"/>
      <c r="C107" s="1135"/>
      <c r="D107" s="1136"/>
      <c r="E107" s="471" t="s">
        <v>443</v>
      </c>
      <c r="F107" s="886">
        <f>IFERROR(SUM(H107:W107),0)</f>
        <v>7883.6124211623301</v>
      </c>
      <c r="G107" s="887"/>
      <c r="H107" s="888">
        <f t="shared" ref="H107:W107" si="74">IFERROR(H105*H106,0)</f>
        <v>0</v>
      </c>
      <c r="I107" s="888">
        <f t="shared" si="74"/>
        <v>0</v>
      </c>
      <c r="J107" s="888">
        <f t="shared" si="74"/>
        <v>0</v>
      </c>
      <c r="K107" s="888">
        <f t="shared" si="74"/>
        <v>0</v>
      </c>
      <c r="L107" s="888">
        <f t="shared" si="74"/>
        <v>0</v>
      </c>
      <c r="M107" s="888">
        <f t="shared" si="74"/>
        <v>0</v>
      </c>
      <c r="N107" s="888">
        <f t="shared" si="74"/>
        <v>0</v>
      </c>
      <c r="O107" s="888">
        <f t="shared" si="74"/>
        <v>3579.0214547324013</v>
      </c>
      <c r="P107" s="888">
        <f t="shared" si="74"/>
        <v>0</v>
      </c>
      <c r="Q107" s="888">
        <f t="shared" si="74"/>
        <v>2376.7386685554602</v>
      </c>
      <c r="R107" s="888">
        <f t="shared" si="74"/>
        <v>0</v>
      </c>
      <c r="S107" s="888">
        <f t="shared" si="74"/>
        <v>1927.8522978744688</v>
      </c>
      <c r="T107" s="888">
        <f t="shared" si="74"/>
        <v>0</v>
      </c>
      <c r="U107" s="888">
        <f t="shared" si="74"/>
        <v>0</v>
      </c>
      <c r="V107" s="888">
        <f t="shared" si="74"/>
        <v>0</v>
      </c>
      <c r="W107" s="888">
        <f t="shared" si="74"/>
        <v>0</v>
      </c>
    </row>
    <row r="108" spans="1:23" ht="18" customHeight="1">
      <c r="A108" s="869" t="s">
        <v>444</v>
      </c>
      <c r="B108" s="1114"/>
      <c r="C108" s="1154" t="s">
        <v>445</v>
      </c>
      <c r="D108" s="1155"/>
      <c r="E108" s="902" t="s">
        <v>446</v>
      </c>
      <c r="F108" s="903">
        <f>IFERROR(SUM(H108:W108),0)</f>
        <v>7883.6124211623301</v>
      </c>
      <c r="G108" s="904"/>
      <c r="H108" s="905">
        <f t="shared" ref="H108:W108" si="75">IFERROR(H107,0)</f>
        <v>0</v>
      </c>
      <c r="I108" s="905">
        <f t="shared" si="75"/>
        <v>0</v>
      </c>
      <c r="J108" s="905">
        <f t="shared" si="75"/>
        <v>0</v>
      </c>
      <c r="K108" s="905">
        <f t="shared" si="75"/>
        <v>0</v>
      </c>
      <c r="L108" s="905">
        <f t="shared" si="75"/>
        <v>0</v>
      </c>
      <c r="M108" s="905">
        <f t="shared" si="75"/>
        <v>0</v>
      </c>
      <c r="N108" s="905">
        <f t="shared" si="75"/>
        <v>0</v>
      </c>
      <c r="O108" s="905">
        <f t="shared" si="75"/>
        <v>3579.0214547324013</v>
      </c>
      <c r="P108" s="905">
        <f t="shared" si="75"/>
        <v>0</v>
      </c>
      <c r="Q108" s="905">
        <f t="shared" si="75"/>
        <v>2376.7386685554602</v>
      </c>
      <c r="R108" s="905">
        <f t="shared" si="75"/>
        <v>0</v>
      </c>
      <c r="S108" s="905">
        <f t="shared" si="75"/>
        <v>1927.8522978744688</v>
      </c>
      <c r="T108" s="905">
        <f t="shared" si="75"/>
        <v>0</v>
      </c>
      <c r="U108" s="905">
        <f t="shared" si="75"/>
        <v>0</v>
      </c>
      <c r="V108" s="905">
        <f t="shared" si="75"/>
        <v>0</v>
      </c>
      <c r="W108" s="905">
        <f t="shared" si="75"/>
        <v>0</v>
      </c>
    </row>
  </sheetData>
  <mergeCells count="40">
    <mergeCell ref="L3:O3"/>
    <mergeCell ref="P3:S3"/>
    <mergeCell ref="T3:W3"/>
    <mergeCell ref="C5:E5"/>
    <mergeCell ref="G3:G4"/>
    <mergeCell ref="C76:D76"/>
    <mergeCell ref="C90:D90"/>
    <mergeCell ref="C91:D91"/>
    <mergeCell ref="C92:D92"/>
    <mergeCell ref="C108:D108"/>
    <mergeCell ref="B97:B103"/>
    <mergeCell ref="B104:B108"/>
    <mergeCell ref="C3:C4"/>
    <mergeCell ref="C6:C26"/>
    <mergeCell ref="C27:C54"/>
    <mergeCell ref="C60:C67"/>
    <mergeCell ref="C68:C75"/>
    <mergeCell ref="C86:D89"/>
    <mergeCell ref="C101:D103"/>
    <mergeCell ref="C104:D107"/>
    <mergeCell ref="C97:D100"/>
    <mergeCell ref="B3:B4"/>
    <mergeCell ref="B6:B59"/>
    <mergeCell ref="B60:B67"/>
    <mergeCell ref="B68:B75"/>
    <mergeCell ref="B86:B89"/>
    <mergeCell ref="B1:K2"/>
    <mergeCell ref="D43:D50"/>
    <mergeCell ref="D51:D54"/>
    <mergeCell ref="D60:D67"/>
    <mergeCell ref="D68:D75"/>
    <mergeCell ref="F3:F4"/>
    <mergeCell ref="D3:E4"/>
    <mergeCell ref="C55:D59"/>
    <mergeCell ref="D6:D13"/>
    <mergeCell ref="D14:D21"/>
    <mergeCell ref="D23:D26"/>
    <mergeCell ref="D27:D34"/>
    <mergeCell ref="D35:D42"/>
    <mergeCell ref="H3:K3"/>
  </mergeCells>
  <phoneticPr fontId="43" type="noConversion"/>
  <pageMargins left="0.7" right="0.7" top="0.75" bottom="0.75" header="0.3" footer="0.3"/>
  <pageSetup paperSize="8" orientation="landscape" horizontalDpi="1200" verticalDpi="1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07"/>
  <sheetViews>
    <sheetView showGridLines="0" topLeftCell="D1" zoomScale="130" zoomScaleNormal="130" workbookViewId="0">
      <pane xSplit="2" ySplit="4" topLeftCell="N8" activePane="bottomRight" state="frozen"/>
      <selection pane="topRight"/>
      <selection pane="bottomLeft"/>
      <selection pane="bottomRight" activeCell="AH12" sqref="AH12"/>
    </sheetView>
  </sheetViews>
  <sheetFormatPr defaultColWidth="9" defaultRowHeight="13.5"/>
  <cols>
    <col min="1" max="3" width="9" hidden="1" customWidth="1"/>
    <col min="4" max="4" width="4.375" customWidth="1"/>
    <col min="5" max="5" width="18.875" customWidth="1"/>
    <col min="6" max="6" width="14.625" customWidth="1"/>
    <col min="7" max="7" width="10.25" hidden="1" customWidth="1"/>
    <col min="8" max="8" width="14.625" customWidth="1"/>
    <col min="9" max="9" width="18.625" hidden="1" customWidth="1"/>
    <col min="10" max="10" width="8.625" customWidth="1"/>
    <col min="11" max="16" width="12.625" customWidth="1"/>
    <col min="17" max="17" width="12.625" hidden="1" customWidth="1"/>
    <col min="18" max="32" width="16.625" hidden="1" customWidth="1"/>
    <col min="33" max="48" width="16.625" customWidth="1"/>
  </cols>
  <sheetData>
    <row r="1" spans="1:48" ht="28.15" customHeight="1">
      <c r="A1" s="74"/>
      <c r="B1" s="591"/>
      <c r="C1" s="74"/>
      <c r="D1" s="592" t="s">
        <v>447</v>
      </c>
      <c r="E1" s="592"/>
      <c r="F1" s="592"/>
      <c r="G1" s="593"/>
      <c r="H1" s="593"/>
      <c r="I1" s="592"/>
      <c r="J1" s="636"/>
      <c r="L1" s="593"/>
      <c r="M1" s="593"/>
      <c r="N1" s="593"/>
      <c r="O1" s="593"/>
      <c r="P1" s="593"/>
      <c r="Q1" s="592"/>
      <c r="R1" s="74"/>
      <c r="S1" s="74"/>
      <c r="T1" s="74"/>
      <c r="U1" s="74"/>
      <c r="V1" s="74"/>
      <c r="W1" s="74"/>
      <c r="X1" s="74"/>
      <c r="Y1" s="74"/>
      <c r="Z1" s="74"/>
      <c r="AA1" s="74"/>
      <c r="AB1" s="74"/>
      <c r="AC1" s="74"/>
      <c r="AD1" s="74"/>
      <c r="AE1" s="74"/>
      <c r="AF1" s="74"/>
      <c r="AG1" s="74">
        <f>F5-F6</f>
        <v>120057.36604260694</v>
      </c>
      <c r="AH1" s="74"/>
      <c r="AI1" s="74"/>
    </row>
    <row r="2" spans="1:48" ht="28.15" customHeight="1">
      <c r="A2" s="74"/>
      <c r="B2" s="127"/>
      <c r="C2" s="127"/>
      <c r="D2" s="594"/>
      <c r="E2" s="594"/>
      <c r="F2" s="594"/>
      <c r="G2" s="595"/>
      <c r="H2" s="596"/>
      <c r="I2" s="594"/>
      <c r="J2" s="596"/>
      <c r="K2" s="596"/>
      <c r="L2" s="596"/>
      <c r="M2" s="596"/>
      <c r="N2" s="596"/>
      <c r="O2" s="596"/>
      <c r="P2" s="596"/>
      <c r="Q2" s="594"/>
      <c r="R2" s="74"/>
      <c r="S2" s="74"/>
      <c r="T2" s="74"/>
      <c r="U2" s="74"/>
      <c r="V2" s="74"/>
      <c r="W2" s="74"/>
      <c r="X2" s="74"/>
      <c r="Y2" s="74"/>
      <c r="Z2" s="74"/>
      <c r="AA2" s="74"/>
      <c r="AB2" s="74"/>
      <c r="AC2" s="74"/>
      <c r="AD2" s="74"/>
      <c r="AE2" s="74"/>
      <c r="AF2" s="74"/>
      <c r="AG2" s="74">
        <f>敏感性!H5</f>
        <v>45000</v>
      </c>
      <c r="AH2" s="74">
        <f>敏感性!Q21</f>
        <v>0</v>
      </c>
      <c r="AI2" s="74"/>
    </row>
    <row r="3" spans="1:48" ht="0.95" customHeight="1">
      <c r="A3" s="597"/>
      <c r="B3" s="1168" t="s">
        <v>448</v>
      </c>
      <c r="C3" s="1179" t="s">
        <v>244</v>
      </c>
      <c r="D3" s="1190" t="s">
        <v>448</v>
      </c>
      <c r="E3" s="1192" t="s">
        <v>272</v>
      </c>
      <c r="F3" s="1200" t="s">
        <v>449</v>
      </c>
      <c r="G3" s="1192" t="s">
        <v>450</v>
      </c>
      <c r="H3" s="1200" t="s">
        <v>451</v>
      </c>
      <c r="I3" s="1203" t="s">
        <v>452</v>
      </c>
      <c r="J3" s="1203" t="s">
        <v>453</v>
      </c>
      <c r="K3" s="1205" t="s">
        <v>454</v>
      </c>
      <c r="L3" s="1205" t="s">
        <v>455</v>
      </c>
      <c r="M3" s="1205" t="s">
        <v>456</v>
      </c>
      <c r="N3" s="1205" t="s">
        <v>457</v>
      </c>
      <c r="O3" s="1205" t="s">
        <v>458</v>
      </c>
      <c r="P3" s="1207" t="s">
        <v>459</v>
      </c>
      <c r="Q3" s="1160" t="s">
        <v>460</v>
      </c>
      <c r="R3" s="1209" t="s">
        <v>461</v>
      </c>
      <c r="S3" s="1210"/>
      <c r="T3" s="1211"/>
      <c r="U3" s="1209" t="s">
        <v>462</v>
      </c>
      <c r="V3" s="1210"/>
      <c r="W3" s="1211"/>
      <c r="X3" s="1209" t="s">
        <v>463</v>
      </c>
      <c r="Y3" s="1210"/>
      <c r="Z3" s="1211"/>
      <c r="AA3" s="1209" t="s">
        <v>464</v>
      </c>
      <c r="AB3" s="1210"/>
      <c r="AC3" s="1211"/>
      <c r="AD3" s="1209" t="s">
        <v>465</v>
      </c>
      <c r="AE3" s="1210"/>
      <c r="AF3" s="1211"/>
      <c r="AG3" s="1072" t="s">
        <v>180</v>
      </c>
      <c r="AH3" s="1072"/>
      <c r="AI3" s="1072"/>
      <c r="AJ3" s="1072"/>
      <c r="AK3" s="1072" t="s">
        <v>181</v>
      </c>
      <c r="AL3" s="1072"/>
      <c r="AM3" s="1072"/>
      <c r="AN3" s="1072"/>
      <c r="AO3" s="1072" t="s">
        <v>182</v>
      </c>
      <c r="AP3" s="1072"/>
      <c r="AQ3" s="1072"/>
      <c r="AR3" s="1072"/>
      <c r="AS3" s="1072" t="s">
        <v>183</v>
      </c>
      <c r="AT3" s="1072"/>
      <c r="AU3" s="1072"/>
      <c r="AV3" s="1073"/>
    </row>
    <row r="4" spans="1:48" ht="28.15" customHeight="1">
      <c r="A4" s="598"/>
      <c r="B4" s="1169"/>
      <c r="C4" s="1180"/>
      <c r="D4" s="1191"/>
      <c r="E4" s="1193"/>
      <c r="F4" s="1201"/>
      <c r="G4" s="1193"/>
      <c r="H4" s="1202"/>
      <c r="I4" s="1204"/>
      <c r="J4" s="1204"/>
      <c r="K4" s="1206"/>
      <c r="L4" s="1206"/>
      <c r="M4" s="1206"/>
      <c r="N4" s="1206"/>
      <c r="O4" s="1206"/>
      <c r="P4" s="1208"/>
      <c r="Q4" s="1161"/>
      <c r="R4" s="666" t="s">
        <v>466</v>
      </c>
      <c r="S4" s="667" t="s">
        <v>467</v>
      </c>
      <c r="T4" s="667" t="s">
        <v>468</v>
      </c>
      <c r="U4" s="666" t="s">
        <v>466</v>
      </c>
      <c r="V4" s="667" t="s">
        <v>467</v>
      </c>
      <c r="W4" s="667" t="s">
        <v>468</v>
      </c>
      <c r="X4" s="666" t="s">
        <v>466</v>
      </c>
      <c r="Y4" s="667" t="s">
        <v>467</v>
      </c>
      <c r="Z4" s="667" t="s">
        <v>468</v>
      </c>
      <c r="AA4" s="666" t="s">
        <v>466</v>
      </c>
      <c r="AB4" s="667" t="s">
        <v>467</v>
      </c>
      <c r="AC4" s="667" t="s">
        <v>468</v>
      </c>
      <c r="AD4" s="666" t="s">
        <v>466</v>
      </c>
      <c r="AE4" s="667" t="s">
        <v>467</v>
      </c>
      <c r="AF4" s="667" t="s">
        <v>468</v>
      </c>
      <c r="AG4" s="285" t="s">
        <v>184</v>
      </c>
      <c r="AH4" s="285" t="s">
        <v>185</v>
      </c>
      <c r="AI4" s="285" t="s">
        <v>186</v>
      </c>
      <c r="AJ4" s="285" t="s">
        <v>187</v>
      </c>
      <c r="AK4" s="285" t="s">
        <v>184</v>
      </c>
      <c r="AL4" s="285" t="s">
        <v>185</v>
      </c>
      <c r="AM4" s="285" t="s">
        <v>186</v>
      </c>
      <c r="AN4" s="285" t="s">
        <v>187</v>
      </c>
      <c r="AO4" s="285" t="s">
        <v>184</v>
      </c>
      <c r="AP4" s="285" t="s">
        <v>185</v>
      </c>
      <c r="AQ4" s="285" t="s">
        <v>186</v>
      </c>
      <c r="AR4" s="285" t="s">
        <v>187</v>
      </c>
      <c r="AS4" s="285" t="s">
        <v>184</v>
      </c>
      <c r="AT4" s="285" t="s">
        <v>185</v>
      </c>
      <c r="AU4" s="285" t="s">
        <v>186</v>
      </c>
      <c r="AV4" s="286" t="s">
        <v>187</v>
      </c>
    </row>
    <row r="5" spans="1:48" ht="18" customHeight="1">
      <c r="A5" s="599" t="s">
        <v>469</v>
      </c>
      <c r="B5" s="1170" t="s">
        <v>470</v>
      </c>
      <c r="C5" s="1181" t="s">
        <v>471</v>
      </c>
      <c r="D5" s="600" t="s">
        <v>276</v>
      </c>
      <c r="E5" s="601" t="s">
        <v>472</v>
      </c>
      <c r="F5" s="602">
        <f>IFERROR(F6+F17+F27+F47+F52+F65+F66+F67,0)</f>
        <v>408555.61040755693</v>
      </c>
      <c r="G5" s="603"/>
      <c r="H5" s="604">
        <f t="shared" ref="H5:H36" si="0">IFERROR(F5-I5,0)</f>
        <v>376300.37194712245</v>
      </c>
      <c r="I5" s="637">
        <f>IFERROR(I6+I17+I27+I47+I52+I65+I66+I67,0)</f>
        <v>32255.238460434462</v>
      </c>
      <c r="J5" s="638"/>
      <c r="K5" s="639">
        <f>总建筑面积</f>
        <v>176500.66012000002</v>
      </c>
      <c r="L5" s="637">
        <f t="shared" ref="L5:L36" si="1">IFERROR(IF(K5&lt;&gt;"",IF(K5&lt;&gt;0,F5/K5*10000,""),""),0)</f>
        <v>23147.540078874856</v>
      </c>
      <c r="M5" s="640">
        <f>IFERROR(F5/总投资,0)</f>
        <v>0.88445248895677586</v>
      </c>
      <c r="N5" s="639">
        <f>IFERROR(规划指标!E15,0)</f>
        <v>148884.87716</v>
      </c>
      <c r="O5" s="641">
        <f t="shared" ref="O5:O36" si="2">IFERROR(IF(N5&lt;&gt;"",IF(N5&lt;&gt;0,F5/N5*10000,""),""),0)</f>
        <v>27441.041575263571</v>
      </c>
      <c r="P5" s="642">
        <f>IFERROR(F5/总销售收入,0)</f>
        <v>0.83633306166591903</v>
      </c>
      <c r="Q5" s="668"/>
      <c r="R5" s="669"/>
      <c r="S5" s="669"/>
      <c r="T5" s="669"/>
      <c r="U5" s="669"/>
      <c r="V5" s="669"/>
      <c r="W5" s="669"/>
      <c r="X5" s="669"/>
      <c r="Y5" s="669"/>
      <c r="Z5" s="669"/>
      <c r="AA5" s="669"/>
      <c r="AB5" s="669"/>
      <c r="AC5" s="669"/>
      <c r="AD5" s="669"/>
      <c r="AE5" s="669"/>
      <c r="AF5" s="669"/>
      <c r="AG5" s="684">
        <f>IFERROR(AG6+AG17+AG27+AG47+AG52+AG65+AG66+AG67,0)</f>
        <v>138099.61634269741</v>
      </c>
      <c r="AH5" s="684">
        <f t="shared" ref="AH5:AV5" si="3">IFERROR(AH6+AH17+AH27+AH47+AH52+AH65+AH66+AH67,0)</f>
        <v>165859.27139892115</v>
      </c>
      <c r="AI5" s="684">
        <f t="shared" si="3"/>
        <v>9824.9772990369347</v>
      </c>
      <c r="AJ5" s="684">
        <f t="shared" si="3"/>
        <v>9824.9772990369347</v>
      </c>
      <c r="AK5" s="684">
        <f t="shared" si="3"/>
        <v>9824.9772990369347</v>
      </c>
      <c r="AL5" s="684">
        <f t="shared" si="3"/>
        <v>9824.9772990369347</v>
      </c>
      <c r="AM5" s="684">
        <f t="shared" si="3"/>
        <v>9824.9772990369347</v>
      </c>
      <c r="AN5" s="684">
        <f t="shared" si="3"/>
        <v>9824.9772990369347</v>
      </c>
      <c r="AO5" s="684">
        <f t="shared" si="3"/>
        <v>9824.9772990369347</v>
      </c>
      <c r="AP5" s="684">
        <f t="shared" si="3"/>
        <v>9824.9772990369347</v>
      </c>
      <c r="AQ5" s="684">
        <f t="shared" si="3"/>
        <v>9757.9566666567825</v>
      </c>
      <c r="AR5" s="684">
        <f t="shared" si="3"/>
        <v>10557.857658320623</v>
      </c>
      <c r="AS5" s="684">
        <f t="shared" si="3"/>
        <v>0</v>
      </c>
      <c r="AT5" s="684">
        <f t="shared" si="3"/>
        <v>0</v>
      </c>
      <c r="AU5" s="684">
        <f t="shared" si="3"/>
        <v>0</v>
      </c>
      <c r="AV5" s="684">
        <f t="shared" si="3"/>
        <v>5681.089948665579</v>
      </c>
    </row>
    <row r="6" spans="1:48" ht="18" customHeight="1">
      <c r="A6" s="605" t="s">
        <v>473</v>
      </c>
      <c r="B6" s="1171"/>
      <c r="C6" s="1182"/>
      <c r="D6" s="606" t="s">
        <v>470</v>
      </c>
      <c r="E6" s="607" t="s">
        <v>474</v>
      </c>
      <c r="F6" s="608">
        <f>IFERROR(F7+F10+F11+F12+F15+F16,0)</f>
        <v>288498.24436494999</v>
      </c>
      <c r="G6" s="606"/>
      <c r="H6" s="609">
        <f>IFERROR(F6-I6,0)</f>
        <v>265601.1364546289</v>
      </c>
      <c r="I6" s="643">
        <f>IFERROR(I7+I10+I11+I12+I15+I16,0)</f>
        <v>22897.107910321101</v>
      </c>
      <c r="J6" s="440"/>
      <c r="K6" s="644">
        <f t="shared" ref="K6:K12" si="4">IFERROR(K5,0)</f>
        <v>176500.66012000002</v>
      </c>
      <c r="L6" s="645">
        <f t="shared" si="1"/>
        <v>16345.448462844533</v>
      </c>
      <c r="M6" s="646">
        <f>IFERROR(F6/总投资,0)</f>
        <v>0.62454898130930303</v>
      </c>
      <c r="N6" s="644">
        <f t="shared" ref="N6:N12" si="5">IFERROR(N5,0)</f>
        <v>148884.87716</v>
      </c>
      <c r="O6" s="647">
        <f t="shared" si="2"/>
        <v>19377.269865690501</v>
      </c>
      <c r="P6" s="648">
        <f>IFERROR(F6/总销售收入,0)</f>
        <v>0.59056983639091454</v>
      </c>
      <c r="Q6" s="670"/>
      <c r="R6" s="643"/>
      <c r="S6" s="671"/>
      <c r="T6" s="643"/>
      <c r="U6" s="643"/>
      <c r="V6" s="671"/>
      <c r="W6" s="643"/>
      <c r="X6" s="671"/>
      <c r="Y6" s="671"/>
      <c r="Z6" s="671"/>
      <c r="AA6" s="643"/>
      <c r="AB6" s="671"/>
      <c r="AC6" s="643"/>
      <c r="AD6" s="671"/>
      <c r="AE6" s="671"/>
      <c r="AF6" s="671"/>
      <c r="AG6" s="685">
        <f>IFERROR(AG7+AG10+AG11+AG12+AG15+AG16,0)</f>
        <v>135000</v>
      </c>
      <c r="AH6" s="685">
        <f>IFERROR(AH7+AH10+AH11+AH12+AH15+AH16,0)</f>
        <v>153498.24436494999</v>
      </c>
      <c r="AI6" s="685">
        <f t="shared" ref="AH6:AV6" si="6">IFERROR(AI7+AI10+AI11+AI12+AI15+AI16,0)</f>
        <v>0</v>
      </c>
      <c r="AJ6" s="685">
        <f t="shared" si="6"/>
        <v>0</v>
      </c>
      <c r="AK6" s="685">
        <f t="shared" si="6"/>
        <v>0</v>
      </c>
      <c r="AL6" s="685">
        <f t="shared" si="6"/>
        <v>0</v>
      </c>
      <c r="AM6" s="685">
        <f t="shared" si="6"/>
        <v>0</v>
      </c>
      <c r="AN6" s="685">
        <f t="shared" si="6"/>
        <v>0</v>
      </c>
      <c r="AO6" s="685">
        <f t="shared" si="6"/>
        <v>0</v>
      </c>
      <c r="AP6" s="685">
        <f t="shared" si="6"/>
        <v>0</v>
      </c>
      <c r="AQ6" s="685">
        <f t="shared" si="6"/>
        <v>0</v>
      </c>
      <c r="AR6" s="685">
        <f t="shared" si="6"/>
        <v>0</v>
      </c>
      <c r="AS6" s="685">
        <f t="shared" si="6"/>
        <v>0</v>
      </c>
      <c r="AT6" s="685">
        <f t="shared" si="6"/>
        <v>0</v>
      </c>
      <c r="AU6" s="685">
        <f t="shared" si="6"/>
        <v>0</v>
      </c>
      <c r="AV6" s="685">
        <f t="shared" si="6"/>
        <v>0</v>
      </c>
    </row>
    <row r="7" spans="1:48" ht="18" customHeight="1">
      <c r="A7" s="610" t="s">
        <v>475</v>
      </c>
      <c r="B7" s="1171"/>
      <c r="C7" s="1182"/>
      <c r="D7" s="611">
        <v>1</v>
      </c>
      <c r="E7" s="612" t="s">
        <v>476</v>
      </c>
      <c r="F7" s="613">
        <f>IFERROR(F8+F9,0)</f>
        <v>270000</v>
      </c>
      <c r="G7" s="614">
        <f>F7/规划指标!D16*10000</f>
        <v>24956.341191857176</v>
      </c>
      <c r="H7" s="615">
        <f t="shared" si="0"/>
        <v>247706.42201834862</v>
      </c>
      <c r="I7" s="649">
        <f>IFERROR(F7/(1+J7)*J7,0)</f>
        <v>22293.577981651375</v>
      </c>
      <c r="J7" s="650">
        <v>0.09</v>
      </c>
      <c r="K7" s="651">
        <f t="shared" si="4"/>
        <v>176500.66012000002</v>
      </c>
      <c r="L7" s="649">
        <f>IFERROR(IF(K7&lt;&gt;"",IF(K7&lt;&gt;0,F7/K7*10000,""),""),0)</f>
        <v>15297.393211811856</v>
      </c>
      <c r="M7" s="652"/>
      <c r="N7" s="651">
        <f t="shared" si="5"/>
        <v>148884.87716</v>
      </c>
      <c r="O7" s="653">
        <f t="shared" si="2"/>
        <v>18134.816990838022</v>
      </c>
      <c r="P7" s="654"/>
      <c r="Q7" s="672"/>
      <c r="R7" s="673"/>
      <c r="S7" s="673"/>
      <c r="T7" s="673"/>
      <c r="U7" s="673"/>
      <c r="V7" s="673"/>
      <c r="W7" s="673"/>
      <c r="X7" s="673"/>
      <c r="Y7" s="673"/>
      <c r="Z7" s="673"/>
      <c r="AA7" s="673"/>
      <c r="AB7" s="673"/>
      <c r="AC7" s="673"/>
      <c r="AD7" s="673"/>
      <c r="AE7" s="673"/>
      <c r="AF7" s="673"/>
      <c r="AG7" s="400">
        <f>IFERROR(SUM(AG8:AG9),0)</f>
        <v>135000</v>
      </c>
      <c r="AH7" s="400">
        <f t="shared" ref="AH7:AV7" si="7">IFERROR(SUM(AH8:AH9),0)</f>
        <v>135000</v>
      </c>
      <c r="AI7" s="400">
        <f t="shared" si="7"/>
        <v>0</v>
      </c>
      <c r="AJ7" s="400">
        <f t="shared" si="7"/>
        <v>0</v>
      </c>
      <c r="AK7" s="400">
        <f t="shared" si="7"/>
        <v>0</v>
      </c>
      <c r="AL7" s="400">
        <f t="shared" si="7"/>
        <v>0</v>
      </c>
      <c r="AM7" s="400">
        <f t="shared" si="7"/>
        <v>0</v>
      </c>
      <c r="AN7" s="400">
        <f t="shared" si="7"/>
        <v>0</v>
      </c>
      <c r="AO7" s="400">
        <f t="shared" si="7"/>
        <v>0</v>
      </c>
      <c r="AP7" s="400">
        <f t="shared" si="7"/>
        <v>0</v>
      </c>
      <c r="AQ7" s="400">
        <f t="shared" si="7"/>
        <v>0</v>
      </c>
      <c r="AR7" s="400">
        <f t="shared" si="7"/>
        <v>0</v>
      </c>
      <c r="AS7" s="400">
        <f t="shared" si="7"/>
        <v>0</v>
      </c>
      <c r="AT7" s="400">
        <f t="shared" si="7"/>
        <v>0</v>
      </c>
      <c r="AU7" s="400">
        <f t="shared" si="7"/>
        <v>0</v>
      </c>
      <c r="AV7" s="400">
        <f t="shared" si="7"/>
        <v>0</v>
      </c>
    </row>
    <row r="8" spans="1:48" ht="18" customHeight="1">
      <c r="A8" s="610" t="s">
        <v>477</v>
      </c>
      <c r="B8" s="1171"/>
      <c r="C8" s="1182"/>
      <c r="D8" s="616">
        <v>1.1000000000000001</v>
      </c>
      <c r="E8" s="617" t="s">
        <v>478</v>
      </c>
      <c r="F8" s="618">
        <f>270000+1500*敏感性!Q21</f>
        <v>270000</v>
      </c>
      <c r="G8" s="619">
        <f>AH2</f>
        <v>0</v>
      </c>
      <c r="H8" s="620">
        <f t="shared" si="0"/>
        <v>247706.42201834862</v>
      </c>
      <c r="I8" s="655">
        <f>IFERROR(F8/(1+J8)*J8,0)</f>
        <v>22293.577981651375</v>
      </c>
      <c r="J8" s="650">
        <v>0.09</v>
      </c>
      <c r="K8" s="656">
        <f t="shared" si="4"/>
        <v>176500.66012000002</v>
      </c>
      <c r="L8" s="655">
        <f t="shared" si="1"/>
        <v>15297.393211811856</v>
      </c>
      <c r="M8" s="657"/>
      <c r="N8" s="656">
        <f t="shared" si="5"/>
        <v>148884.87716</v>
      </c>
      <c r="O8" s="658">
        <f t="shared" si="2"/>
        <v>18134.816990838022</v>
      </c>
      <c r="P8" s="659"/>
      <c r="Q8" s="674"/>
      <c r="R8" s="675"/>
      <c r="S8" s="675"/>
      <c r="T8" s="675"/>
      <c r="U8" s="675"/>
      <c r="V8" s="675"/>
      <c r="W8" s="675"/>
      <c r="X8" s="675"/>
      <c r="Y8" s="675"/>
      <c r="Z8" s="675"/>
      <c r="AA8" s="675"/>
      <c r="AB8" s="675"/>
      <c r="AC8" s="675"/>
      <c r="AD8" s="675"/>
      <c r="AE8" s="675"/>
      <c r="AF8" s="675"/>
      <c r="AG8" s="397">
        <f>F8/2</f>
        <v>135000</v>
      </c>
      <c r="AH8" s="397">
        <f>AG8</f>
        <v>135000</v>
      </c>
      <c r="AI8" s="397">
        <f t="shared" ref="AH8:AV10" si="8">IFERROR(IF(COLUMN()=33,$F8,0),0)</f>
        <v>0</v>
      </c>
      <c r="AJ8" s="397">
        <f t="shared" si="8"/>
        <v>0</v>
      </c>
      <c r="AK8" s="397">
        <f t="shared" si="8"/>
        <v>0</v>
      </c>
      <c r="AL8" s="397">
        <f t="shared" si="8"/>
        <v>0</v>
      </c>
      <c r="AM8" s="397">
        <f t="shared" si="8"/>
        <v>0</v>
      </c>
      <c r="AN8" s="397">
        <f t="shared" si="8"/>
        <v>0</v>
      </c>
      <c r="AO8" s="397">
        <f t="shared" si="8"/>
        <v>0</v>
      </c>
      <c r="AP8" s="397">
        <f t="shared" si="8"/>
        <v>0</v>
      </c>
      <c r="AQ8" s="397">
        <f t="shared" si="8"/>
        <v>0</v>
      </c>
      <c r="AR8" s="397">
        <f t="shared" si="8"/>
        <v>0</v>
      </c>
      <c r="AS8" s="397">
        <f t="shared" si="8"/>
        <v>0</v>
      </c>
      <c r="AT8" s="397">
        <f t="shared" si="8"/>
        <v>0</v>
      </c>
      <c r="AU8" s="397">
        <f t="shared" si="8"/>
        <v>0</v>
      </c>
      <c r="AV8" s="397">
        <f t="shared" si="8"/>
        <v>0</v>
      </c>
    </row>
    <row r="9" spans="1:48" ht="18" customHeight="1">
      <c r="A9" s="610" t="s">
        <v>479</v>
      </c>
      <c r="B9" s="1171"/>
      <c r="C9" s="1182"/>
      <c r="D9" s="611">
        <v>1.2</v>
      </c>
      <c r="E9" s="612" t="s">
        <v>480</v>
      </c>
      <c r="F9" s="621"/>
      <c r="G9" s="619"/>
      <c r="H9" s="615">
        <f t="shared" si="0"/>
        <v>0</v>
      </c>
      <c r="I9" s="649">
        <f>IFERROR(F9/(1+J9)*J9,0)</f>
        <v>0</v>
      </c>
      <c r="J9" s="650">
        <v>0.09</v>
      </c>
      <c r="K9" s="651">
        <f t="shared" si="4"/>
        <v>176500.66012000002</v>
      </c>
      <c r="L9" s="649">
        <f t="shared" si="1"/>
        <v>0</v>
      </c>
      <c r="M9" s="652"/>
      <c r="N9" s="651">
        <f t="shared" si="5"/>
        <v>148884.87716</v>
      </c>
      <c r="O9" s="653">
        <f t="shared" si="2"/>
        <v>0</v>
      </c>
      <c r="P9" s="654"/>
      <c r="Q9" s="672"/>
      <c r="R9" s="673"/>
      <c r="S9" s="673"/>
      <c r="T9" s="673"/>
      <c r="U9" s="673"/>
      <c r="V9" s="673"/>
      <c r="W9" s="673"/>
      <c r="X9" s="673"/>
      <c r="Y9" s="673"/>
      <c r="Z9" s="673"/>
      <c r="AA9" s="673"/>
      <c r="AB9" s="673"/>
      <c r="AC9" s="673"/>
      <c r="AD9" s="673"/>
      <c r="AE9" s="673"/>
      <c r="AF9" s="673"/>
      <c r="AG9" s="400">
        <f>IFERROR(IF(COLUMN()=33,$F9,0),0)</f>
        <v>0</v>
      </c>
      <c r="AH9" s="400">
        <f t="shared" si="8"/>
        <v>0</v>
      </c>
      <c r="AI9" s="400">
        <f t="shared" si="8"/>
        <v>0</v>
      </c>
      <c r="AJ9" s="400">
        <f t="shared" si="8"/>
        <v>0</v>
      </c>
      <c r="AK9" s="400">
        <f t="shared" si="8"/>
        <v>0</v>
      </c>
      <c r="AL9" s="400">
        <f t="shared" si="8"/>
        <v>0</v>
      </c>
      <c r="AM9" s="400">
        <f t="shared" si="8"/>
        <v>0</v>
      </c>
      <c r="AN9" s="400">
        <f t="shared" si="8"/>
        <v>0</v>
      </c>
      <c r="AO9" s="400">
        <f t="shared" si="8"/>
        <v>0</v>
      </c>
      <c r="AP9" s="400">
        <f t="shared" si="8"/>
        <v>0</v>
      </c>
      <c r="AQ9" s="400">
        <f t="shared" si="8"/>
        <v>0</v>
      </c>
      <c r="AR9" s="400">
        <f t="shared" si="8"/>
        <v>0</v>
      </c>
      <c r="AS9" s="400">
        <f t="shared" si="8"/>
        <v>0</v>
      </c>
      <c r="AT9" s="400">
        <f t="shared" si="8"/>
        <v>0</v>
      </c>
      <c r="AU9" s="400">
        <f t="shared" si="8"/>
        <v>0</v>
      </c>
      <c r="AV9" s="400">
        <f t="shared" si="8"/>
        <v>0</v>
      </c>
    </row>
    <row r="10" spans="1:48" ht="18" customHeight="1">
      <c r="A10" s="610" t="s">
        <v>481</v>
      </c>
      <c r="B10" s="1171"/>
      <c r="C10" s="1182"/>
      <c r="D10" s="616">
        <v>2</v>
      </c>
      <c r="E10" s="617" t="s">
        <v>482</v>
      </c>
      <c r="F10" s="621">
        <f>2.5*0.25*0.15*规划指标!D42+2.5*0.25*0.25*规划指标!E38+2.5*0.25*0.6*规划指标!D44</f>
        <v>7309.4180249999999</v>
      </c>
      <c r="G10" s="619"/>
      <c r="H10" s="620">
        <f t="shared" si="0"/>
        <v>6705.8880963302754</v>
      </c>
      <c r="I10" s="655">
        <f>IFERROR(F10/(1+J10)*J10,0)</f>
        <v>603.52992866972465</v>
      </c>
      <c r="J10" s="650">
        <v>0.09</v>
      </c>
      <c r="K10" s="656">
        <f t="shared" si="4"/>
        <v>176500.66012000002</v>
      </c>
      <c r="L10" s="655">
        <f t="shared" si="1"/>
        <v>414.12978399233418</v>
      </c>
      <c r="M10" s="657"/>
      <c r="N10" s="656">
        <f t="shared" si="5"/>
        <v>148884.87716</v>
      </c>
      <c r="O10" s="658">
        <f t="shared" si="2"/>
        <v>490.94428960336188</v>
      </c>
      <c r="P10" s="659"/>
      <c r="Q10" s="674"/>
      <c r="R10" s="675"/>
      <c r="S10" s="675"/>
      <c r="T10" s="675"/>
      <c r="U10" s="675"/>
      <c r="V10" s="675"/>
      <c r="W10" s="675"/>
      <c r="X10" s="675"/>
      <c r="Y10" s="675"/>
      <c r="Z10" s="675"/>
      <c r="AA10" s="675"/>
      <c r="AB10" s="675"/>
      <c r="AC10" s="675"/>
      <c r="AD10" s="675"/>
      <c r="AE10" s="675"/>
      <c r="AF10" s="675"/>
      <c r="AG10" s="397">
        <f>IFERROR(IF(COLUMN()=34,$F10,0),0)</f>
        <v>0</v>
      </c>
      <c r="AH10" s="397">
        <f>IFERROR(IF(COLUMN()=34,$F10,0),0)</f>
        <v>7309.4180249999999</v>
      </c>
      <c r="AI10" s="397">
        <f t="shared" si="8"/>
        <v>0</v>
      </c>
      <c r="AJ10" s="397">
        <f t="shared" si="8"/>
        <v>0</v>
      </c>
      <c r="AK10" s="397">
        <f t="shared" si="8"/>
        <v>0</v>
      </c>
      <c r="AL10" s="397">
        <f t="shared" si="8"/>
        <v>0</v>
      </c>
      <c r="AM10" s="397">
        <f t="shared" si="8"/>
        <v>0</v>
      </c>
      <c r="AN10" s="397">
        <f t="shared" si="8"/>
        <v>0</v>
      </c>
      <c r="AO10" s="397">
        <f t="shared" si="8"/>
        <v>0</v>
      </c>
      <c r="AP10" s="397">
        <f t="shared" si="8"/>
        <v>0</v>
      </c>
      <c r="AQ10" s="397">
        <f t="shared" si="8"/>
        <v>0</v>
      </c>
      <c r="AR10" s="397">
        <f t="shared" si="8"/>
        <v>0</v>
      </c>
      <c r="AS10" s="397">
        <f t="shared" si="8"/>
        <v>0</v>
      </c>
      <c r="AT10" s="397">
        <f t="shared" si="8"/>
        <v>0</v>
      </c>
      <c r="AU10" s="397">
        <f t="shared" si="8"/>
        <v>0</v>
      </c>
      <c r="AV10" s="397">
        <f t="shared" si="8"/>
        <v>0</v>
      </c>
    </row>
    <row r="11" spans="1:48" ht="18" customHeight="1">
      <c r="A11" s="610" t="s">
        <v>483</v>
      </c>
      <c r="B11" s="1171"/>
      <c r="C11" s="1182"/>
      <c r="D11" s="611">
        <v>3</v>
      </c>
      <c r="E11" s="612" t="s">
        <v>484</v>
      </c>
      <c r="F11" s="622">
        <f>IFERROR((F10+F7)*G11,0)</f>
        <v>8319.2825407500004</v>
      </c>
      <c r="G11" s="623">
        <v>0.03</v>
      </c>
      <c r="H11" s="615">
        <f t="shared" si="0"/>
        <v>8319.2825407500004</v>
      </c>
      <c r="I11" s="649"/>
      <c r="J11" s="650"/>
      <c r="K11" s="651">
        <f t="shared" si="4"/>
        <v>176500.66012000002</v>
      </c>
      <c r="L11" s="649">
        <f t="shared" si="1"/>
        <v>471.34568987412575</v>
      </c>
      <c r="M11" s="652"/>
      <c r="N11" s="651">
        <f t="shared" si="5"/>
        <v>148884.87716</v>
      </c>
      <c r="O11" s="653">
        <f t="shared" si="2"/>
        <v>558.77283841324152</v>
      </c>
      <c r="P11" s="654"/>
      <c r="Q11" s="672"/>
      <c r="R11" s="673"/>
      <c r="S11" s="673"/>
      <c r="T11" s="673"/>
      <c r="U11" s="673"/>
      <c r="V11" s="673"/>
      <c r="W11" s="673"/>
      <c r="X11" s="673"/>
      <c r="Y11" s="673"/>
      <c r="Z11" s="673"/>
      <c r="AA11" s="673"/>
      <c r="AB11" s="673"/>
      <c r="AC11" s="673"/>
      <c r="AD11" s="673"/>
      <c r="AE11" s="673"/>
      <c r="AF11" s="673"/>
      <c r="AG11" s="400">
        <v>0</v>
      </c>
      <c r="AH11" s="400">
        <f>IFERROR((AH10+AH7+AG7)*$G11,0)</f>
        <v>8319.2825407500004</v>
      </c>
      <c r="AI11" s="400">
        <f t="shared" ref="AI11:AV11" si="9">IFERROR((AI10+AI7)*$G11,0)</f>
        <v>0</v>
      </c>
      <c r="AJ11" s="400">
        <f t="shared" si="9"/>
        <v>0</v>
      </c>
      <c r="AK11" s="400">
        <f t="shared" si="9"/>
        <v>0</v>
      </c>
      <c r="AL11" s="400">
        <f t="shared" si="9"/>
        <v>0</v>
      </c>
      <c r="AM11" s="400">
        <f t="shared" si="9"/>
        <v>0</v>
      </c>
      <c r="AN11" s="400">
        <f t="shared" si="9"/>
        <v>0</v>
      </c>
      <c r="AO11" s="400">
        <f t="shared" si="9"/>
        <v>0</v>
      </c>
      <c r="AP11" s="400">
        <f t="shared" si="9"/>
        <v>0</v>
      </c>
      <c r="AQ11" s="400">
        <f t="shared" si="9"/>
        <v>0</v>
      </c>
      <c r="AR11" s="400">
        <f t="shared" si="9"/>
        <v>0</v>
      </c>
      <c r="AS11" s="400">
        <f t="shared" si="9"/>
        <v>0</v>
      </c>
      <c r="AT11" s="400">
        <f t="shared" si="9"/>
        <v>0</v>
      </c>
      <c r="AU11" s="400">
        <f t="shared" si="9"/>
        <v>0</v>
      </c>
      <c r="AV11" s="400">
        <f t="shared" si="9"/>
        <v>0</v>
      </c>
    </row>
    <row r="12" spans="1:48" ht="18" customHeight="1">
      <c r="A12" s="610" t="s">
        <v>485</v>
      </c>
      <c r="B12" s="1171"/>
      <c r="C12" s="1182"/>
      <c r="D12" s="616">
        <v>4</v>
      </c>
      <c r="E12" s="617" t="s">
        <v>486</v>
      </c>
      <c r="F12" s="624">
        <f>IFERROR(F13+F14,0)</f>
        <v>2869.5437992000006</v>
      </c>
      <c r="G12" s="619"/>
      <c r="H12" s="620">
        <f t="shared" si="0"/>
        <v>2869.5437992000006</v>
      </c>
      <c r="I12" s="655">
        <f>IFERROR(F12/(1+J12)*J12,0)</f>
        <v>0</v>
      </c>
      <c r="J12" s="660"/>
      <c r="K12" s="656">
        <f t="shared" si="4"/>
        <v>176500.66012000002</v>
      </c>
      <c r="L12" s="655">
        <f t="shared" si="1"/>
        <v>162.57977716621815</v>
      </c>
      <c r="M12" s="657"/>
      <c r="N12" s="656">
        <f t="shared" si="5"/>
        <v>148884.87716</v>
      </c>
      <c r="O12" s="658">
        <f t="shared" si="2"/>
        <v>192.73574683587432</v>
      </c>
      <c r="P12" s="659"/>
      <c r="Q12" s="674"/>
      <c r="R12" s="675"/>
      <c r="S12" s="675"/>
      <c r="T12" s="675"/>
      <c r="U12" s="675"/>
      <c r="V12" s="675"/>
      <c r="W12" s="675"/>
      <c r="X12" s="675"/>
      <c r="Y12" s="675"/>
      <c r="Z12" s="675"/>
      <c r="AA12" s="675"/>
      <c r="AB12" s="675"/>
      <c r="AC12" s="675"/>
      <c r="AD12" s="675"/>
      <c r="AE12" s="675"/>
      <c r="AF12" s="675"/>
      <c r="AG12" s="397">
        <f>IFERROR(AG13+AG14,0)</f>
        <v>0</v>
      </c>
      <c r="AH12" s="397">
        <f t="shared" ref="AH12:AV12" si="10">IFERROR(AH13+AH14,0)</f>
        <v>2869.5437992000006</v>
      </c>
      <c r="AI12" s="397">
        <f t="shared" si="10"/>
        <v>0</v>
      </c>
      <c r="AJ12" s="397">
        <f t="shared" si="10"/>
        <v>0</v>
      </c>
      <c r="AK12" s="397">
        <f t="shared" si="10"/>
        <v>0</v>
      </c>
      <c r="AL12" s="397">
        <f t="shared" si="10"/>
        <v>0</v>
      </c>
      <c r="AM12" s="397">
        <f t="shared" si="10"/>
        <v>0</v>
      </c>
      <c r="AN12" s="397">
        <f t="shared" si="10"/>
        <v>0</v>
      </c>
      <c r="AO12" s="397">
        <f t="shared" si="10"/>
        <v>0</v>
      </c>
      <c r="AP12" s="397">
        <f t="shared" si="10"/>
        <v>0</v>
      </c>
      <c r="AQ12" s="397">
        <f t="shared" si="10"/>
        <v>0</v>
      </c>
      <c r="AR12" s="397">
        <f t="shared" si="10"/>
        <v>0</v>
      </c>
      <c r="AS12" s="397">
        <f t="shared" si="10"/>
        <v>0</v>
      </c>
      <c r="AT12" s="397">
        <f t="shared" si="10"/>
        <v>0</v>
      </c>
      <c r="AU12" s="397">
        <f t="shared" si="10"/>
        <v>0</v>
      </c>
      <c r="AV12" s="397">
        <f t="shared" si="10"/>
        <v>0</v>
      </c>
    </row>
    <row r="13" spans="1:48" ht="18" customHeight="1">
      <c r="A13" s="610" t="s">
        <v>487</v>
      </c>
      <c r="B13" s="1171"/>
      <c r="C13" s="1182"/>
      <c r="D13" s="611">
        <v>4.0999999999999996</v>
      </c>
      <c r="E13" s="612" t="s">
        <v>488</v>
      </c>
      <c r="F13" s="613">
        <f>IFERROR(G13*K13/10000,0)</f>
        <v>1689.8149760000001</v>
      </c>
      <c r="G13" s="619">
        <v>160</v>
      </c>
      <c r="H13" s="615">
        <f t="shared" si="0"/>
        <v>1689.8149760000001</v>
      </c>
      <c r="I13" s="649">
        <f>IFERROR(F13/(1+J13)*J13,0)</f>
        <v>0</v>
      </c>
      <c r="J13" s="660"/>
      <c r="K13" s="651">
        <f>IFERROR(规划指标!D17,0)</f>
        <v>105613.436</v>
      </c>
      <c r="L13" s="649">
        <f t="shared" si="1"/>
        <v>160</v>
      </c>
      <c r="M13" s="652"/>
      <c r="N13" s="651">
        <f>IFERROR(规划指标!E17,0)</f>
        <v>105613.436</v>
      </c>
      <c r="O13" s="653">
        <f t="shared" si="2"/>
        <v>160</v>
      </c>
      <c r="P13" s="654"/>
      <c r="Q13" s="672"/>
      <c r="R13" s="673"/>
      <c r="S13" s="673"/>
      <c r="T13" s="673"/>
      <c r="U13" s="673"/>
      <c r="V13" s="673"/>
      <c r="W13" s="673"/>
      <c r="X13" s="673"/>
      <c r="Y13" s="673"/>
      <c r="Z13" s="673"/>
      <c r="AA13" s="673"/>
      <c r="AB13" s="673"/>
      <c r="AC13" s="673"/>
      <c r="AD13" s="673"/>
      <c r="AE13" s="673"/>
      <c r="AF13" s="673"/>
      <c r="AG13" s="400">
        <f>IFERROR(IF(COLUMN()=34,$F13,0),0)</f>
        <v>0</v>
      </c>
      <c r="AH13" s="400">
        <f>IFERROR(IF(COLUMN()=34,$F13,0),0)</f>
        <v>1689.8149760000001</v>
      </c>
      <c r="AI13" s="400">
        <f t="shared" ref="AH13:AV16" si="11">IFERROR(IF(COLUMN()=33,$F13,0),0)</f>
        <v>0</v>
      </c>
      <c r="AJ13" s="400">
        <f t="shared" si="11"/>
        <v>0</v>
      </c>
      <c r="AK13" s="400">
        <f t="shared" si="11"/>
        <v>0</v>
      </c>
      <c r="AL13" s="400">
        <f t="shared" si="11"/>
        <v>0</v>
      </c>
      <c r="AM13" s="400">
        <f t="shared" si="11"/>
        <v>0</v>
      </c>
      <c r="AN13" s="400">
        <f t="shared" si="11"/>
        <v>0</v>
      </c>
      <c r="AO13" s="400">
        <f t="shared" si="11"/>
        <v>0</v>
      </c>
      <c r="AP13" s="400">
        <f t="shared" si="11"/>
        <v>0</v>
      </c>
      <c r="AQ13" s="400">
        <f t="shared" si="11"/>
        <v>0</v>
      </c>
      <c r="AR13" s="400">
        <f t="shared" si="11"/>
        <v>0</v>
      </c>
      <c r="AS13" s="400">
        <f t="shared" si="11"/>
        <v>0</v>
      </c>
      <c r="AT13" s="400">
        <f t="shared" si="11"/>
        <v>0</v>
      </c>
      <c r="AU13" s="400">
        <f t="shared" si="11"/>
        <v>0</v>
      </c>
      <c r="AV13" s="400">
        <f t="shared" si="11"/>
        <v>0</v>
      </c>
    </row>
    <row r="14" spans="1:48" ht="18" customHeight="1">
      <c r="A14" s="610" t="s">
        <v>489</v>
      </c>
      <c r="B14" s="1171"/>
      <c r="C14" s="1182"/>
      <c r="D14" s="616">
        <v>4.2</v>
      </c>
      <c r="E14" s="617" t="s">
        <v>490</v>
      </c>
      <c r="F14" s="624">
        <f>IFERROR(G14*K14/10000,0)</f>
        <v>1179.7288232000003</v>
      </c>
      <c r="G14" s="619">
        <v>200</v>
      </c>
      <c r="H14" s="620">
        <f t="shared" si="0"/>
        <v>1179.7288232000003</v>
      </c>
      <c r="I14" s="655">
        <f>IFERROR(F14/(1+J14)*J14,0)</f>
        <v>0</v>
      </c>
      <c r="J14" s="660"/>
      <c r="K14" s="656">
        <f>IFERROR(规划指标!D15-规划指标!D17-规划指标!D25,0)</f>
        <v>58986.441160000017</v>
      </c>
      <c r="L14" s="655">
        <f t="shared" si="1"/>
        <v>200</v>
      </c>
      <c r="M14" s="657"/>
      <c r="N14" s="656">
        <f>IFERROR(规划指标!E15-规划指标!E17,0)</f>
        <v>43271.441160000002</v>
      </c>
      <c r="O14" s="658">
        <f t="shared" si="2"/>
        <v>272.63451171821345</v>
      </c>
      <c r="P14" s="659"/>
      <c r="Q14" s="674"/>
      <c r="R14" s="675"/>
      <c r="S14" s="675"/>
      <c r="T14" s="675"/>
      <c r="U14" s="675"/>
      <c r="V14" s="675"/>
      <c r="W14" s="675"/>
      <c r="X14" s="675"/>
      <c r="Y14" s="675"/>
      <c r="Z14" s="675"/>
      <c r="AA14" s="675"/>
      <c r="AB14" s="675"/>
      <c r="AC14" s="675"/>
      <c r="AD14" s="675"/>
      <c r="AE14" s="675"/>
      <c r="AF14" s="675"/>
      <c r="AG14" s="397">
        <f>IFERROR(IF(COLUMN()=34,$F14,0),0)</f>
        <v>0</v>
      </c>
      <c r="AH14" s="397">
        <f>IFERROR(IF(COLUMN()=34,$F14,0),0)</f>
        <v>1179.7288232000003</v>
      </c>
      <c r="AI14" s="397">
        <f t="shared" si="11"/>
        <v>0</v>
      </c>
      <c r="AJ14" s="397">
        <f t="shared" si="11"/>
        <v>0</v>
      </c>
      <c r="AK14" s="397">
        <f t="shared" si="11"/>
        <v>0</v>
      </c>
      <c r="AL14" s="397">
        <f t="shared" si="11"/>
        <v>0</v>
      </c>
      <c r="AM14" s="397">
        <f t="shared" si="11"/>
        <v>0</v>
      </c>
      <c r="AN14" s="397">
        <f t="shared" si="11"/>
        <v>0</v>
      </c>
      <c r="AO14" s="397">
        <f t="shared" si="11"/>
        <v>0</v>
      </c>
      <c r="AP14" s="397">
        <f t="shared" si="11"/>
        <v>0</v>
      </c>
      <c r="AQ14" s="397">
        <f t="shared" si="11"/>
        <v>0</v>
      </c>
      <c r="AR14" s="397">
        <f t="shared" si="11"/>
        <v>0</v>
      </c>
      <c r="AS14" s="397">
        <f t="shared" si="11"/>
        <v>0</v>
      </c>
      <c r="AT14" s="397">
        <f t="shared" si="11"/>
        <v>0</v>
      </c>
      <c r="AU14" s="397">
        <f t="shared" si="11"/>
        <v>0</v>
      </c>
      <c r="AV14" s="397">
        <f t="shared" si="11"/>
        <v>0</v>
      </c>
    </row>
    <row r="15" spans="1:48" ht="18" customHeight="1">
      <c r="A15" s="610" t="s">
        <v>491</v>
      </c>
      <c r="B15" s="1171"/>
      <c r="C15" s="1182"/>
      <c r="D15" s="611">
        <v>5</v>
      </c>
      <c r="E15" s="612" t="s">
        <v>492</v>
      </c>
      <c r="F15" s="625"/>
      <c r="G15" s="619"/>
      <c r="H15" s="615">
        <f t="shared" si="0"/>
        <v>0</v>
      </c>
      <c r="I15" s="649">
        <f>IFERROR(F15/(1+J15)*J15,0)</f>
        <v>0</v>
      </c>
      <c r="J15" s="650">
        <v>0.06</v>
      </c>
      <c r="K15" s="651">
        <f>IFERROR(K14,0)</f>
        <v>58986.441160000017</v>
      </c>
      <c r="L15" s="649">
        <f t="shared" si="1"/>
        <v>0</v>
      </c>
      <c r="M15" s="652"/>
      <c r="N15" s="651">
        <f>IFERROR(N14,0)</f>
        <v>43271.441160000002</v>
      </c>
      <c r="O15" s="653">
        <f t="shared" si="2"/>
        <v>0</v>
      </c>
      <c r="P15" s="654"/>
      <c r="Q15" s="672"/>
      <c r="R15" s="673"/>
      <c r="S15" s="673"/>
      <c r="T15" s="673"/>
      <c r="U15" s="673"/>
      <c r="V15" s="673"/>
      <c r="W15" s="673"/>
      <c r="X15" s="673"/>
      <c r="Y15" s="673"/>
      <c r="Z15" s="673"/>
      <c r="AA15" s="673"/>
      <c r="AB15" s="673"/>
      <c r="AC15" s="673"/>
      <c r="AD15" s="673"/>
      <c r="AE15" s="673"/>
      <c r="AF15" s="673"/>
      <c r="AG15" s="400">
        <f>IFERROR(IF(COLUMN()=33,$F15,0),0)</f>
        <v>0</v>
      </c>
      <c r="AH15" s="400">
        <f t="shared" si="11"/>
        <v>0</v>
      </c>
      <c r="AI15" s="400">
        <f t="shared" si="11"/>
        <v>0</v>
      </c>
      <c r="AJ15" s="400">
        <f t="shared" si="11"/>
        <v>0</v>
      </c>
      <c r="AK15" s="400">
        <f t="shared" si="11"/>
        <v>0</v>
      </c>
      <c r="AL15" s="400">
        <f t="shared" si="11"/>
        <v>0</v>
      </c>
      <c r="AM15" s="400">
        <f t="shared" si="11"/>
        <v>0</v>
      </c>
      <c r="AN15" s="400">
        <f t="shared" si="11"/>
        <v>0</v>
      </c>
      <c r="AO15" s="400">
        <f t="shared" si="11"/>
        <v>0</v>
      </c>
      <c r="AP15" s="400">
        <f t="shared" si="11"/>
        <v>0</v>
      </c>
      <c r="AQ15" s="400">
        <f t="shared" si="11"/>
        <v>0</v>
      </c>
      <c r="AR15" s="400">
        <f t="shared" si="11"/>
        <v>0</v>
      </c>
      <c r="AS15" s="400">
        <f t="shared" si="11"/>
        <v>0</v>
      </c>
      <c r="AT15" s="400">
        <f t="shared" si="11"/>
        <v>0</v>
      </c>
      <c r="AU15" s="400">
        <f t="shared" si="11"/>
        <v>0</v>
      </c>
      <c r="AV15" s="400">
        <f t="shared" si="11"/>
        <v>0</v>
      </c>
    </row>
    <row r="16" spans="1:48" ht="18" customHeight="1">
      <c r="A16" s="610" t="s">
        <v>493</v>
      </c>
      <c r="B16" s="1171"/>
      <c r="C16" s="1182"/>
      <c r="D16" s="616">
        <v>6</v>
      </c>
      <c r="E16" s="617" t="s">
        <v>494</v>
      </c>
      <c r="F16" s="625"/>
      <c r="G16" s="619"/>
      <c r="H16" s="620">
        <f t="shared" si="0"/>
        <v>0</v>
      </c>
      <c r="I16" s="655">
        <f>IFERROR(F16/(1+J16)*J16,0)</f>
        <v>0</v>
      </c>
      <c r="J16" s="650">
        <v>0.06</v>
      </c>
      <c r="K16" s="656">
        <f>IFERROR(K15,0)</f>
        <v>58986.441160000017</v>
      </c>
      <c r="L16" s="655">
        <f t="shared" si="1"/>
        <v>0</v>
      </c>
      <c r="M16" s="657"/>
      <c r="N16" s="656">
        <f>IFERROR(N15,0)</f>
        <v>43271.441160000002</v>
      </c>
      <c r="O16" s="658">
        <f t="shared" si="2"/>
        <v>0</v>
      </c>
      <c r="P16" s="659"/>
      <c r="Q16" s="674"/>
      <c r="R16" s="675"/>
      <c r="S16" s="675"/>
      <c r="T16" s="675"/>
      <c r="U16" s="675"/>
      <c r="V16" s="675"/>
      <c r="W16" s="675"/>
      <c r="X16" s="675"/>
      <c r="Y16" s="675"/>
      <c r="Z16" s="675"/>
      <c r="AA16" s="675"/>
      <c r="AB16" s="675"/>
      <c r="AC16" s="675"/>
      <c r="AD16" s="675"/>
      <c r="AE16" s="675"/>
      <c r="AF16" s="675"/>
      <c r="AG16" s="397">
        <f>IFERROR(IF(COLUMN()=33,$F16,0),0)</f>
        <v>0</v>
      </c>
      <c r="AH16" s="397">
        <f t="shared" si="11"/>
        <v>0</v>
      </c>
      <c r="AI16" s="397">
        <f t="shared" si="11"/>
        <v>0</v>
      </c>
      <c r="AJ16" s="397">
        <f t="shared" si="11"/>
        <v>0</v>
      </c>
      <c r="AK16" s="397">
        <f t="shared" si="11"/>
        <v>0</v>
      </c>
      <c r="AL16" s="397">
        <f t="shared" si="11"/>
        <v>0</v>
      </c>
      <c r="AM16" s="397">
        <f t="shared" si="11"/>
        <v>0</v>
      </c>
      <c r="AN16" s="397">
        <f t="shared" si="11"/>
        <v>0</v>
      </c>
      <c r="AO16" s="397">
        <f t="shared" si="11"/>
        <v>0</v>
      </c>
      <c r="AP16" s="397">
        <f t="shared" si="11"/>
        <v>0</v>
      </c>
      <c r="AQ16" s="397">
        <f t="shared" si="11"/>
        <v>0</v>
      </c>
      <c r="AR16" s="397">
        <f t="shared" si="11"/>
        <v>0</v>
      </c>
      <c r="AS16" s="397">
        <f t="shared" si="11"/>
        <v>0</v>
      </c>
      <c r="AT16" s="397">
        <f t="shared" si="11"/>
        <v>0</v>
      </c>
      <c r="AU16" s="397">
        <f t="shared" si="11"/>
        <v>0</v>
      </c>
      <c r="AV16" s="397">
        <f t="shared" si="11"/>
        <v>0</v>
      </c>
    </row>
    <row r="17" spans="1:48" ht="18" customHeight="1">
      <c r="A17" s="626" t="s">
        <v>495</v>
      </c>
      <c r="B17" s="1171"/>
      <c r="C17" s="1182"/>
      <c r="D17" s="606" t="s">
        <v>496</v>
      </c>
      <c r="E17" s="607" t="s">
        <v>497</v>
      </c>
      <c r="F17" s="627">
        <f>SUM(F18:F26)</f>
        <v>5471.5204637200022</v>
      </c>
      <c r="G17" s="606"/>
      <c r="H17" s="609">
        <f t="shared" si="0"/>
        <v>5221.7553786445305</v>
      </c>
      <c r="I17" s="645">
        <f>IFERROR(SUM(I18:I26),0)</f>
        <v>249.76508507547175</v>
      </c>
      <c r="J17" s="440"/>
      <c r="K17" s="644">
        <f>总建筑面积</f>
        <v>176500.66012000002</v>
      </c>
      <c r="L17" s="645">
        <f>IFERROR(IF(K17&lt;&gt;"",IF(K17&lt;&gt;0,F17/K17*10000,""),""),0)</f>
        <v>310.00000000000011</v>
      </c>
      <c r="M17" s="646">
        <f>IFERROR(F17/总投资,0)</f>
        <v>1.1844898880932311E-2</v>
      </c>
      <c r="N17" s="644">
        <f>IFERROR(N8,0)</f>
        <v>148884.87716</v>
      </c>
      <c r="O17" s="647">
        <f t="shared" si="2"/>
        <v>367.50008248587943</v>
      </c>
      <c r="P17" s="648">
        <f>IFERROR(F17/总销售收入,0)</f>
        <v>1.1200466582323642E-2</v>
      </c>
      <c r="Q17" s="670"/>
      <c r="R17" s="671"/>
      <c r="S17" s="671"/>
      <c r="T17" s="671"/>
      <c r="U17" s="671"/>
      <c r="V17" s="671"/>
      <c r="W17" s="671"/>
      <c r="X17" s="671"/>
      <c r="Y17" s="671"/>
      <c r="Z17" s="671"/>
      <c r="AA17" s="671"/>
      <c r="AB17" s="671"/>
      <c r="AC17" s="671"/>
      <c r="AD17" s="671"/>
      <c r="AE17" s="671"/>
      <c r="AF17" s="671"/>
      <c r="AG17" s="685">
        <f>IFERROR(SUM(AG18:AG26),0)</f>
        <v>3009.3362550460006</v>
      </c>
      <c r="AH17" s="685">
        <f t="shared" ref="AH17:AV17" si="12">IFERROR(SUM(AH18:AH26),0)</f>
        <v>2462.1842086740007</v>
      </c>
      <c r="AI17" s="685">
        <f t="shared" si="12"/>
        <v>0</v>
      </c>
      <c r="AJ17" s="685">
        <f t="shared" si="12"/>
        <v>0</v>
      </c>
      <c r="AK17" s="685">
        <f t="shared" si="12"/>
        <v>0</v>
      </c>
      <c r="AL17" s="685">
        <f t="shared" si="12"/>
        <v>0</v>
      </c>
      <c r="AM17" s="685">
        <f t="shared" si="12"/>
        <v>0</v>
      </c>
      <c r="AN17" s="685">
        <f t="shared" si="12"/>
        <v>0</v>
      </c>
      <c r="AO17" s="685">
        <f t="shared" si="12"/>
        <v>0</v>
      </c>
      <c r="AP17" s="685">
        <f t="shared" si="12"/>
        <v>0</v>
      </c>
      <c r="AQ17" s="685">
        <f t="shared" si="12"/>
        <v>0</v>
      </c>
      <c r="AR17" s="685">
        <f t="shared" si="12"/>
        <v>0</v>
      </c>
      <c r="AS17" s="685">
        <f t="shared" si="12"/>
        <v>0</v>
      </c>
      <c r="AT17" s="685">
        <f t="shared" si="12"/>
        <v>0</v>
      </c>
      <c r="AU17" s="685">
        <f t="shared" si="12"/>
        <v>0</v>
      </c>
      <c r="AV17" s="685">
        <f t="shared" si="12"/>
        <v>0</v>
      </c>
    </row>
    <row r="18" spans="1:48" ht="18" customHeight="1">
      <c r="A18" s="628" t="s">
        <v>498</v>
      </c>
      <c r="B18" s="1171"/>
      <c r="C18" s="1182"/>
      <c r="D18" s="616">
        <v>1</v>
      </c>
      <c r="E18" s="617" t="s">
        <v>499</v>
      </c>
      <c r="F18" s="624">
        <f t="shared" ref="F18:F26" si="13">IFERROR(G18*K18/10000,0)</f>
        <v>194.15072613200002</v>
      </c>
      <c r="G18" s="629">
        <v>11</v>
      </c>
      <c r="H18" s="620">
        <f t="shared" si="0"/>
        <v>183.16106238867926</v>
      </c>
      <c r="I18" s="655">
        <f t="shared" ref="I18:I26" si="14">IFERROR(F18/(1+J18)*J18,0)</f>
        <v>10.989663743320754</v>
      </c>
      <c r="J18" s="661">
        <v>0.06</v>
      </c>
      <c r="K18" s="656">
        <f t="shared" ref="K18:K26" si="15">IFERROR(K17,0)</f>
        <v>176500.66012000002</v>
      </c>
      <c r="L18" s="655">
        <f t="shared" si="1"/>
        <v>11</v>
      </c>
      <c r="M18" s="657"/>
      <c r="N18" s="656">
        <f t="shared" ref="N18:N26" si="16">IFERROR(N17,0)</f>
        <v>148884.87716</v>
      </c>
      <c r="O18" s="658">
        <f t="shared" si="2"/>
        <v>13.040325507563457</v>
      </c>
      <c r="P18" s="659"/>
      <c r="Q18" s="676">
        <v>3</v>
      </c>
      <c r="R18" s="675"/>
      <c r="S18" s="675"/>
      <c r="T18" s="675"/>
      <c r="U18" s="675"/>
      <c r="V18" s="675"/>
      <c r="W18" s="675"/>
      <c r="X18" s="675"/>
      <c r="Y18" s="675"/>
      <c r="Z18" s="675"/>
      <c r="AA18" s="675"/>
      <c r="AB18" s="675"/>
      <c r="AC18" s="675"/>
      <c r="AD18" s="675"/>
      <c r="AE18" s="675"/>
      <c r="AF18" s="675"/>
      <c r="AG18" s="397">
        <f>IFERROR(IF(COLUMN()=33,$F18,0),0)</f>
        <v>194.15072613200002</v>
      </c>
      <c r="AH18" s="397">
        <f t="shared" ref="AH18:AV19" si="17">IFERROR(IF(COLUMN()=33,$F18,0),0)</f>
        <v>0</v>
      </c>
      <c r="AI18" s="397">
        <f t="shared" si="17"/>
        <v>0</v>
      </c>
      <c r="AJ18" s="397">
        <f t="shared" si="17"/>
        <v>0</v>
      </c>
      <c r="AK18" s="397">
        <f t="shared" si="17"/>
        <v>0</v>
      </c>
      <c r="AL18" s="397">
        <f t="shared" si="17"/>
        <v>0</v>
      </c>
      <c r="AM18" s="397">
        <f t="shared" si="17"/>
        <v>0</v>
      </c>
      <c r="AN18" s="397">
        <f t="shared" si="17"/>
        <v>0</v>
      </c>
      <c r="AO18" s="397">
        <f t="shared" si="17"/>
        <v>0</v>
      </c>
      <c r="AP18" s="397">
        <f t="shared" si="17"/>
        <v>0</v>
      </c>
      <c r="AQ18" s="397">
        <f t="shared" si="17"/>
        <v>0</v>
      </c>
      <c r="AR18" s="397">
        <f t="shared" si="17"/>
        <v>0</v>
      </c>
      <c r="AS18" s="397">
        <f t="shared" si="17"/>
        <v>0</v>
      </c>
      <c r="AT18" s="397">
        <f t="shared" si="17"/>
        <v>0</v>
      </c>
      <c r="AU18" s="397">
        <f t="shared" si="17"/>
        <v>0</v>
      </c>
      <c r="AV18" s="397">
        <f t="shared" si="17"/>
        <v>0</v>
      </c>
    </row>
    <row r="19" spans="1:48" ht="18" customHeight="1">
      <c r="A19" s="610" t="s">
        <v>500</v>
      </c>
      <c r="B19" s="1171"/>
      <c r="C19" s="1182"/>
      <c r="D19" s="611">
        <v>2</v>
      </c>
      <c r="E19" s="612" t="s">
        <v>501</v>
      </c>
      <c r="F19" s="613">
        <f t="shared" si="13"/>
        <v>617.75231042000007</v>
      </c>
      <c r="G19" s="630">
        <v>35</v>
      </c>
      <c r="H19" s="615">
        <f t="shared" si="0"/>
        <v>582.78519850943405</v>
      </c>
      <c r="I19" s="649">
        <f t="shared" si="14"/>
        <v>34.96711191056604</v>
      </c>
      <c r="J19" s="661">
        <v>0.06</v>
      </c>
      <c r="K19" s="651">
        <f t="shared" si="15"/>
        <v>176500.66012000002</v>
      </c>
      <c r="L19" s="649">
        <f t="shared" si="1"/>
        <v>35</v>
      </c>
      <c r="M19" s="652"/>
      <c r="N19" s="651">
        <f t="shared" si="16"/>
        <v>148884.87716</v>
      </c>
      <c r="O19" s="653">
        <f t="shared" si="2"/>
        <v>41.491944796792822</v>
      </c>
      <c r="P19" s="654"/>
      <c r="Q19" s="677">
        <v>0.18</v>
      </c>
      <c r="R19" s="673"/>
      <c r="S19" s="673"/>
      <c r="T19" s="673"/>
      <c r="U19" s="673"/>
      <c r="V19" s="673"/>
      <c r="W19" s="673"/>
      <c r="X19" s="673"/>
      <c r="Y19" s="673"/>
      <c r="Z19" s="673"/>
      <c r="AA19" s="673"/>
      <c r="AB19" s="673"/>
      <c r="AC19" s="673"/>
      <c r="AD19" s="673"/>
      <c r="AE19" s="673"/>
      <c r="AF19" s="673"/>
      <c r="AG19" s="400">
        <f>IFERROR(IF(COLUMN()=33,$F19,0),0)</f>
        <v>617.75231042000007</v>
      </c>
      <c r="AH19" s="400">
        <f t="shared" si="17"/>
        <v>0</v>
      </c>
      <c r="AI19" s="400">
        <f t="shared" si="17"/>
        <v>0</v>
      </c>
      <c r="AJ19" s="400">
        <f t="shared" si="17"/>
        <v>0</v>
      </c>
      <c r="AK19" s="400">
        <f t="shared" si="17"/>
        <v>0</v>
      </c>
      <c r="AL19" s="400">
        <f t="shared" si="17"/>
        <v>0</v>
      </c>
      <c r="AM19" s="400">
        <f t="shared" si="17"/>
        <v>0</v>
      </c>
      <c r="AN19" s="400">
        <f t="shared" si="17"/>
        <v>0</v>
      </c>
      <c r="AO19" s="400">
        <f t="shared" si="17"/>
        <v>0</v>
      </c>
      <c r="AP19" s="400">
        <f t="shared" si="17"/>
        <v>0</v>
      </c>
      <c r="AQ19" s="400">
        <f t="shared" si="17"/>
        <v>0</v>
      </c>
      <c r="AR19" s="400">
        <f t="shared" si="17"/>
        <v>0</v>
      </c>
      <c r="AS19" s="400">
        <f t="shared" si="17"/>
        <v>0</v>
      </c>
      <c r="AT19" s="400">
        <f t="shared" si="17"/>
        <v>0</v>
      </c>
      <c r="AU19" s="400">
        <f t="shared" si="17"/>
        <v>0</v>
      </c>
      <c r="AV19" s="400">
        <f t="shared" si="17"/>
        <v>0</v>
      </c>
    </row>
    <row r="20" spans="1:48" ht="18" customHeight="1">
      <c r="A20" s="610" t="s">
        <v>502</v>
      </c>
      <c r="B20" s="1171"/>
      <c r="C20" s="1182"/>
      <c r="D20" s="616">
        <v>3</v>
      </c>
      <c r="E20" s="617" t="s">
        <v>503</v>
      </c>
      <c r="F20" s="624">
        <f t="shared" si="13"/>
        <v>105.90039607200001</v>
      </c>
      <c r="G20" s="630">
        <v>6</v>
      </c>
      <c r="H20" s="620">
        <f t="shared" si="0"/>
        <v>99.906034030188692</v>
      </c>
      <c r="I20" s="655">
        <f t="shared" si="14"/>
        <v>5.9943620418113204</v>
      </c>
      <c r="J20" s="661">
        <v>0.06</v>
      </c>
      <c r="K20" s="656">
        <f t="shared" si="15"/>
        <v>176500.66012000002</v>
      </c>
      <c r="L20" s="655">
        <f t="shared" si="1"/>
        <v>5.9999999999999991</v>
      </c>
      <c r="M20" s="657"/>
      <c r="N20" s="656">
        <f t="shared" si="16"/>
        <v>148884.87716</v>
      </c>
      <c r="O20" s="658">
        <f t="shared" si="2"/>
        <v>7.1129048223073399</v>
      </c>
      <c r="P20" s="659"/>
      <c r="Q20" s="678">
        <v>6.6E-4</v>
      </c>
      <c r="R20" s="675"/>
      <c r="S20" s="675"/>
      <c r="T20" s="675"/>
      <c r="U20" s="675"/>
      <c r="V20" s="675"/>
      <c r="W20" s="675"/>
      <c r="X20" s="675"/>
      <c r="Y20" s="675"/>
      <c r="Z20" s="675"/>
      <c r="AA20" s="675"/>
      <c r="AB20" s="675"/>
      <c r="AC20" s="675"/>
      <c r="AD20" s="675"/>
      <c r="AE20" s="675"/>
      <c r="AF20" s="675"/>
      <c r="AG20" s="397">
        <f>IFERROR(IF(COLUMN()&gt;=33,IF(COLUMN()&lt;=34,$F20/2,0),0),0)</f>
        <v>52.950198036000003</v>
      </c>
      <c r="AH20" s="397">
        <f t="shared" ref="AH20:AV21" si="18">IFERROR(IF(COLUMN()&gt;=33,IF(COLUMN()&lt;=34,$F20/2,0),0),0)</f>
        <v>52.950198036000003</v>
      </c>
      <c r="AI20" s="397">
        <f t="shared" si="18"/>
        <v>0</v>
      </c>
      <c r="AJ20" s="397">
        <f t="shared" si="18"/>
        <v>0</v>
      </c>
      <c r="AK20" s="397">
        <f t="shared" si="18"/>
        <v>0</v>
      </c>
      <c r="AL20" s="397">
        <f t="shared" si="18"/>
        <v>0</v>
      </c>
      <c r="AM20" s="397">
        <f t="shared" si="18"/>
        <v>0</v>
      </c>
      <c r="AN20" s="397">
        <f t="shared" si="18"/>
        <v>0</v>
      </c>
      <c r="AO20" s="397">
        <f t="shared" si="18"/>
        <v>0</v>
      </c>
      <c r="AP20" s="397">
        <f t="shared" si="18"/>
        <v>0</v>
      </c>
      <c r="AQ20" s="397">
        <f t="shared" si="18"/>
        <v>0</v>
      </c>
      <c r="AR20" s="397">
        <f t="shared" si="18"/>
        <v>0</v>
      </c>
      <c r="AS20" s="397">
        <f t="shared" si="18"/>
        <v>0</v>
      </c>
      <c r="AT20" s="397">
        <f t="shared" si="18"/>
        <v>0</v>
      </c>
      <c r="AU20" s="397">
        <f t="shared" si="18"/>
        <v>0</v>
      </c>
      <c r="AV20" s="397">
        <f t="shared" si="18"/>
        <v>0</v>
      </c>
    </row>
    <row r="21" spans="1:48" ht="18" customHeight="1">
      <c r="A21" s="610" t="s">
        <v>504</v>
      </c>
      <c r="B21" s="1171"/>
      <c r="C21" s="1182"/>
      <c r="D21" s="611">
        <v>4</v>
      </c>
      <c r="E21" s="612" t="s">
        <v>505</v>
      </c>
      <c r="F21" s="613">
        <f t="shared" si="13"/>
        <v>2170.9581194760003</v>
      </c>
      <c r="G21" s="630">
        <v>123</v>
      </c>
      <c r="H21" s="615">
        <f t="shared" si="0"/>
        <v>2048.0736976188682</v>
      </c>
      <c r="I21" s="649">
        <f t="shared" si="14"/>
        <v>122.88442185713208</v>
      </c>
      <c r="J21" s="661">
        <v>0.06</v>
      </c>
      <c r="K21" s="651">
        <f t="shared" si="15"/>
        <v>176500.66012000002</v>
      </c>
      <c r="L21" s="649">
        <f t="shared" si="1"/>
        <v>123</v>
      </c>
      <c r="M21" s="652"/>
      <c r="N21" s="651">
        <f t="shared" si="16"/>
        <v>148884.87716</v>
      </c>
      <c r="O21" s="653">
        <f t="shared" si="2"/>
        <v>145.81454885730048</v>
      </c>
      <c r="P21" s="654"/>
      <c r="Q21" s="679">
        <v>1.4999999999999999E-2</v>
      </c>
      <c r="R21" s="673"/>
      <c r="S21" s="673"/>
      <c r="T21" s="673"/>
      <c r="U21" s="673"/>
      <c r="V21" s="673"/>
      <c r="W21" s="673"/>
      <c r="X21" s="673"/>
      <c r="Y21" s="673"/>
      <c r="Z21" s="673"/>
      <c r="AA21" s="673"/>
      <c r="AB21" s="673"/>
      <c r="AC21" s="673"/>
      <c r="AD21" s="673"/>
      <c r="AE21" s="673"/>
      <c r="AF21" s="673"/>
      <c r="AG21" s="400">
        <f>IFERROR(IF(COLUMN()&gt;=33,IF(COLUMN()&lt;=34,$F21/2,0),0),0)</f>
        <v>1085.4790597380002</v>
      </c>
      <c r="AH21" s="400">
        <f t="shared" si="18"/>
        <v>1085.4790597380002</v>
      </c>
      <c r="AI21" s="400">
        <f t="shared" si="18"/>
        <v>0</v>
      </c>
      <c r="AJ21" s="400">
        <f t="shared" si="18"/>
        <v>0</v>
      </c>
      <c r="AK21" s="400">
        <f t="shared" si="18"/>
        <v>0</v>
      </c>
      <c r="AL21" s="400">
        <f t="shared" si="18"/>
        <v>0</v>
      </c>
      <c r="AM21" s="400">
        <f t="shared" si="18"/>
        <v>0</v>
      </c>
      <c r="AN21" s="400">
        <f t="shared" si="18"/>
        <v>0</v>
      </c>
      <c r="AO21" s="400">
        <f t="shared" si="18"/>
        <v>0</v>
      </c>
      <c r="AP21" s="400">
        <f t="shared" si="18"/>
        <v>0</v>
      </c>
      <c r="AQ21" s="400">
        <f t="shared" si="18"/>
        <v>0</v>
      </c>
      <c r="AR21" s="400">
        <f t="shared" si="18"/>
        <v>0</v>
      </c>
      <c r="AS21" s="400">
        <f t="shared" si="18"/>
        <v>0</v>
      </c>
      <c r="AT21" s="400">
        <f t="shared" si="18"/>
        <v>0</v>
      </c>
      <c r="AU21" s="400">
        <f t="shared" si="18"/>
        <v>0</v>
      </c>
      <c r="AV21" s="400">
        <f t="shared" si="18"/>
        <v>0</v>
      </c>
    </row>
    <row r="22" spans="1:48" ht="18" customHeight="1">
      <c r="A22" s="610" t="s">
        <v>506</v>
      </c>
      <c r="B22" s="1171"/>
      <c r="C22" s="1182"/>
      <c r="D22" s="616">
        <v>5</v>
      </c>
      <c r="E22" s="617" t="s">
        <v>507</v>
      </c>
      <c r="F22" s="624">
        <f t="shared" si="13"/>
        <v>882.5033006000001</v>
      </c>
      <c r="G22" s="629">
        <v>50</v>
      </c>
      <c r="H22" s="620">
        <f t="shared" si="0"/>
        <v>832.55028358490574</v>
      </c>
      <c r="I22" s="655">
        <f t="shared" si="14"/>
        <v>49.953017015094346</v>
      </c>
      <c r="J22" s="661">
        <v>0.06</v>
      </c>
      <c r="K22" s="656">
        <f t="shared" si="15"/>
        <v>176500.66012000002</v>
      </c>
      <c r="L22" s="655">
        <f t="shared" si="1"/>
        <v>50</v>
      </c>
      <c r="M22" s="657"/>
      <c r="N22" s="656">
        <f t="shared" si="16"/>
        <v>148884.87716</v>
      </c>
      <c r="O22" s="658">
        <f t="shared" si="2"/>
        <v>59.274206852561178</v>
      </c>
      <c r="P22" s="659"/>
      <c r="Q22" s="676">
        <v>1</v>
      </c>
      <c r="R22" s="675"/>
      <c r="S22" s="675"/>
      <c r="T22" s="675"/>
      <c r="U22" s="675"/>
      <c r="V22" s="675"/>
      <c r="W22" s="675"/>
      <c r="X22" s="675"/>
      <c r="Y22" s="675"/>
      <c r="Z22" s="675"/>
      <c r="AA22" s="675"/>
      <c r="AB22" s="675"/>
      <c r="AC22" s="675"/>
      <c r="AD22" s="675"/>
      <c r="AE22" s="675"/>
      <c r="AF22" s="675"/>
      <c r="AG22" s="397">
        <f>IFERROR(IF(COLUMN()=33,$F22,0),0)</f>
        <v>882.5033006000001</v>
      </c>
      <c r="AH22" s="397">
        <f t="shared" ref="AH22:AV23" si="19">IFERROR(IF(COLUMN()=33,$F22,0),0)</f>
        <v>0</v>
      </c>
      <c r="AI22" s="397">
        <f t="shared" si="19"/>
        <v>0</v>
      </c>
      <c r="AJ22" s="397">
        <f t="shared" si="19"/>
        <v>0</v>
      </c>
      <c r="AK22" s="397">
        <f t="shared" si="19"/>
        <v>0</v>
      </c>
      <c r="AL22" s="397">
        <f t="shared" si="19"/>
        <v>0</v>
      </c>
      <c r="AM22" s="397">
        <f t="shared" si="19"/>
        <v>0</v>
      </c>
      <c r="AN22" s="397">
        <f t="shared" si="19"/>
        <v>0</v>
      </c>
      <c r="AO22" s="397">
        <f t="shared" si="19"/>
        <v>0</v>
      </c>
      <c r="AP22" s="397">
        <f t="shared" si="19"/>
        <v>0</v>
      </c>
      <c r="AQ22" s="397">
        <f t="shared" si="19"/>
        <v>0</v>
      </c>
      <c r="AR22" s="397">
        <f t="shared" si="19"/>
        <v>0</v>
      </c>
      <c r="AS22" s="397">
        <f t="shared" si="19"/>
        <v>0</v>
      </c>
      <c r="AT22" s="397">
        <f t="shared" si="19"/>
        <v>0</v>
      </c>
      <c r="AU22" s="397">
        <f t="shared" si="19"/>
        <v>0</v>
      </c>
      <c r="AV22" s="397">
        <f t="shared" si="19"/>
        <v>0</v>
      </c>
    </row>
    <row r="23" spans="1:48" ht="18" customHeight="1">
      <c r="A23" s="610" t="s">
        <v>508</v>
      </c>
      <c r="B23" s="1171"/>
      <c r="C23" s="1182"/>
      <c r="D23" s="611">
        <v>6</v>
      </c>
      <c r="E23" s="612" t="s">
        <v>509</v>
      </c>
      <c r="F23" s="613">
        <f t="shared" si="13"/>
        <v>176.50066012000002</v>
      </c>
      <c r="G23" s="629">
        <v>10</v>
      </c>
      <c r="H23" s="615">
        <f t="shared" si="0"/>
        <v>166.51005671698115</v>
      </c>
      <c r="I23" s="649">
        <f t="shared" si="14"/>
        <v>9.9906034030188682</v>
      </c>
      <c r="J23" s="661">
        <v>0.06</v>
      </c>
      <c r="K23" s="651">
        <f t="shared" si="15"/>
        <v>176500.66012000002</v>
      </c>
      <c r="L23" s="649">
        <f t="shared" si="1"/>
        <v>10</v>
      </c>
      <c r="M23" s="652"/>
      <c r="N23" s="651">
        <f t="shared" si="16"/>
        <v>148884.87716</v>
      </c>
      <c r="O23" s="653">
        <f t="shared" si="2"/>
        <v>11.854841370512236</v>
      </c>
      <c r="P23" s="654"/>
      <c r="Q23" s="680">
        <v>1</v>
      </c>
      <c r="R23" s="673"/>
      <c r="S23" s="673"/>
      <c r="T23" s="673"/>
      <c r="U23" s="673"/>
      <c r="V23" s="673"/>
      <c r="W23" s="673"/>
      <c r="X23" s="673"/>
      <c r="Y23" s="673"/>
      <c r="Z23" s="673"/>
      <c r="AA23" s="673"/>
      <c r="AB23" s="673"/>
      <c r="AC23" s="673"/>
      <c r="AD23" s="673"/>
      <c r="AE23" s="673"/>
      <c r="AF23" s="673"/>
      <c r="AG23" s="400">
        <f>IFERROR(IF(COLUMN()=33,$F23,0),0)</f>
        <v>176.50066012000002</v>
      </c>
      <c r="AH23" s="400">
        <f t="shared" si="19"/>
        <v>0</v>
      </c>
      <c r="AI23" s="400">
        <f t="shared" si="19"/>
        <v>0</v>
      </c>
      <c r="AJ23" s="400">
        <f t="shared" si="19"/>
        <v>0</v>
      </c>
      <c r="AK23" s="400">
        <f t="shared" si="19"/>
        <v>0</v>
      </c>
      <c r="AL23" s="400">
        <f t="shared" si="19"/>
        <v>0</v>
      </c>
      <c r="AM23" s="400">
        <f t="shared" si="19"/>
        <v>0</v>
      </c>
      <c r="AN23" s="400">
        <f t="shared" si="19"/>
        <v>0</v>
      </c>
      <c r="AO23" s="400">
        <f t="shared" si="19"/>
        <v>0</v>
      </c>
      <c r="AP23" s="400">
        <f t="shared" si="19"/>
        <v>0</v>
      </c>
      <c r="AQ23" s="400">
        <f t="shared" si="19"/>
        <v>0</v>
      </c>
      <c r="AR23" s="400">
        <f t="shared" si="19"/>
        <v>0</v>
      </c>
      <c r="AS23" s="400">
        <f t="shared" si="19"/>
        <v>0</v>
      </c>
      <c r="AT23" s="400">
        <f t="shared" si="19"/>
        <v>0</v>
      </c>
      <c r="AU23" s="400">
        <f t="shared" si="19"/>
        <v>0</v>
      </c>
      <c r="AV23" s="400">
        <f t="shared" si="19"/>
        <v>0</v>
      </c>
    </row>
    <row r="24" spans="1:48" ht="18" customHeight="1">
      <c r="A24" s="610" t="s">
        <v>510</v>
      </c>
      <c r="B24" s="1171"/>
      <c r="C24" s="1182"/>
      <c r="D24" s="616">
        <v>7</v>
      </c>
      <c r="E24" s="617" t="s">
        <v>511</v>
      </c>
      <c r="F24" s="624">
        <f t="shared" si="13"/>
        <v>264.75099018000003</v>
      </c>
      <c r="G24" s="629">
        <v>15</v>
      </c>
      <c r="H24" s="620">
        <f t="shared" si="0"/>
        <v>249.76508507547172</v>
      </c>
      <c r="I24" s="655">
        <f t="shared" si="14"/>
        <v>14.985905104528303</v>
      </c>
      <c r="J24" s="661">
        <v>0.06</v>
      </c>
      <c r="K24" s="656">
        <f t="shared" si="15"/>
        <v>176500.66012000002</v>
      </c>
      <c r="L24" s="655">
        <f t="shared" si="1"/>
        <v>15</v>
      </c>
      <c r="M24" s="657"/>
      <c r="N24" s="656">
        <f t="shared" si="16"/>
        <v>148884.87716</v>
      </c>
      <c r="O24" s="658">
        <f t="shared" si="2"/>
        <v>17.782262055768353</v>
      </c>
      <c r="P24" s="659"/>
      <c r="Q24" s="676">
        <v>3</v>
      </c>
      <c r="R24" s="675"/>
      <c r="S24" s="675"/>
      <c r="T24" s="675"/>
      <c r="U24" s="675"/>
      <c r="V24" s="675"/>
      <c r="W24" s="675"/>
      <c r="X24" s="675"/>
      <c r="Y24" s="675"/>
      <c r="Z24" s="675"/>
      <c r="AA24" s="675"/>
      <c r="AB24" s="675"/>
      <c r="AC24" s="675"/>
      <c r="AD24" s="675"/>
      <c r="AE24" s="675"/>
      <c r="AF24" s="675"/>
      <c r="AG24" s="397">
        <f>IFERROR(IF(COLUMN()=34,$F24,0),0)</f>
        <v>0</v>
      </c>
      <c r="AH24" s="397">
        <f t="shared" ref="AH24:AV26" si="20">IFERROR(IF(COLUMN()=34,$F24,0),0)</f>
        <v>264.75099018000003</v>
      </c>
      <c r="AI24" s="397">
        <f t="shared" si="20"/>
        <v>0</v>
      </c>
      <c r="AJ24" s="397">
        <f t="shared" si="20"/>
        <v>0</v>
      </c>
      <c r="AK24" s="397">
        <f t="shared" si="20"/>
        <v>0</v>
      </c>
      <c r="AL24" s="397">
        <f t="shared" si="20"/>
        <v>0</v>
      </c>
      <c r="AM24" s="397">
        <f t="shared" si="20"/>
        <v>0</v>
      </c>
      <c r="AN24" s="397">
        <f t="shared" si="20"/>
        <v>0</v>
      </c>
      <c r="AO24" s="397">
        <f t="shared" si="20"/>
        <v>0</v>
      </c>
      <c r="AP24" s="397">
        <f t="shared" si="20"/>
        <v>0</v>
      </c>
      <c r="AQ24" s="397">
        <f t="shared" si="20"/>
        <v>0</v>
      </c>
      <c r="AR24" s="397">
        <f t="shared" si="20"/>
        <v>0</v>
      </c>
      <c r="AS24" s="397">
        <f t="shared" si="20"/>
        <v>0</v>
      </c>
      <c r="AT24" s="397">
        <f t="shared" si="20"/>
        <v>0</v>
      </c>
      <c r="AU24" s="397">
        <f t="shared" si="20"/>
        <v>0</v>
      </c>
      <c r="AV24" s="397">
        <f t="shared" si="20"/>
        <v>0</v>
      </c>
    </row>
    <row r="25" spans="1:48" ht="18" customHeight="1">
      <c r="A25" s="610" t="s">
        <v>512</v>
      </c>
      <c r="B25" s="1171"/>
      <c r="C25" s="1182"/>
      <c r="D25" s="611">
        <v>8</v>
      </c>
      <c r="E25" s="612" t="s">
        <v>513</v>
      </c>
      <c r="F25" s="613">
        <f t="shared" si="13"/>
        <v>882.5033006000001</v>
      </c>
      <c r="G25" s="629">
        <v>50</v>
      </c>
      <c r="H25" s="615">
        <f t="shared" si="0"/>
        <v>882.5033006000001</v>
      </c>
      <c r="I25" s="649">
        <f t="shared" si="14"/>
        <v>0</v>
      </c>
      <c r="J25" s="661"/>
      <c r="K25" s="651">
        <f t="shared" si="15"/>
        <v>176500.66012000002</v>
      </c>
      <c r="L25" s="649">
        <f t="shared" si="1"/>
        <v>50</v>
      </c>
      <c r="M25" s="652"/>
      <c r="N25" s="651">
        <f t="shared" si="16"/>
        <v>148884.87716</v>
      </c>
      <c r="O25" s="653">
        <f t="shared" si="2"/>
        <v>59.274206852561178</v>
      </c>
      <c r="P25" s="654"/>
      <c r="Q25" s="680">
        <v>6</v>
      </c>
      <c r="R25" s="673"/>
      <c r="S25" s="673"/>
      <c r="T25" s="673"/>
      <c r="U25" s="673"/>
      <c r="V25" s="673"/>
      <c r="W25" s="673"/>
      <c r="X25" s="673"/>
      <c r="Y25" s="673"/>
      <c r="Z25" s="673"/>
      <c r="AA25" s="673"/>
      <c r="AB25" s="673"/>
      <c r="AC25" s="673"/>
      <c r="AD25" s="673"/>
      <c r="AE25" s="673"/>
      <c r="AF25" s="673"/>
      <c r="AG25" s="400">
        <f>IFERROR(IF(COLUMN()=34,$F25,0),0)</f>
        <v>0</v>
      </c>
      <c r="AH25" s="400">
        <f t="shared" si="20"/>
        <v>882.5033006000001</v>
      </c>
      <c r="AI25" s="400">
        <f t="shared" si="20"/>
        <v>0</v>
      </c>
      <c r="AJ25" s="400">
        <f t="shared" si="20"/>
        <v>0</v>
      </c>
      <c r="AK25" s="400">
        <f t="shared" si="20"/>
        <v>0</v>
      </c>
      <c r="AL25" s="400">
        <f t="shared" si="20"/>
        <v>0</v>
      </c>
      <c r="AM25" s="400">
        <f t="shared" si="20"/>
        <v>0</v>
      </c>
      <c r="AN25" s="400">
        <f t="shared" si="20"/>
        <v>0</v>
      </c>
      <c r="AO25" s="400">
        <f t="shared" si="20"/>
        <v>0</v>
      </c>
      <c r="AP25" s="400">
        <f t="shared" si="20"/>
        <v>0</v>
      </c>
      <c r="AQ25" s="400">
        <f t="shared" si="20"/>
        <v>0</v>
      </c>
      <c r="AR25" s="400">
        <f t="shared" si="20"/>
        <v>0</v>
      </c>
      <c r="AS25" s="400">
        <f t="shared" si="20"/>
        <v>0</v>
      </c>
      <c r="AT25" s="400">
        <f t="shared" si="20"/>
        <v>0</v>
      </c>
      <c r="AU25" s="400">
        <f t="shared" si="20"/>
        <v>0</v>
      </c>
      <c r="AV25" s="400">
        <f t="shared" si="20"/>
        <v>0</v>
      </c>
    </row>
    <row r="26" spans="1:48" ht="18" customHeight="1">
      <c r="A26" s="610" t="s">
        <v>514</v>
      </c>
      <c r="B26" s="1171"/>
      <c r="C26" s="1182"/>
      <c r="D26" s="616">
        <v>9</v>
      </c>
      <c r="E26" s="617" t="s">
        <v>515</v>
      </c>
      <c r="F26" s="624">
        <f t="shared" si="13"/>
        <v>176.50066012000002</v>
      </c>
      <c r="G26" s="629">
        <v>10</v>
      </c>
      <c r="H26" s="620">
        <f t="shared" si="0"/>
        <v>176.50066012000002</v>
      </c>
      <c r="I26" s="655">
        <f t="shared" si="14"/>
        <v>0</v>
      </c>
      <c r="J26" s="662"/>
      <c r="K26" s="656">
        <f t="shared" si="15"/>
        <v>176500.66012000002</v>
      </c>
      <c r="L26" s="655">
        <f t="shared" si="1"/>
        <v>10</v>
      </c>
      <c r="M26" s="657"/>
      <c r="N26" s="656">
        <f t="shared" si="16"/>
        <v>148884.87716</v>
      </c>
      <c r="O26" s="658">
        <f t="shared" si="2"/>
        <v>11.854841370512236</v>
      </c>
      <c r="P26" s="659"/>
      <c r="Q26" s="676">
        <v>0</v>
      </c>
      <c r="R26" s="675"/>
      <c r="S26" s="675"/>
      <c r="T26" s="675"/>
      <c r="U26" s="675"/>
      <c r="V26" s="675"/>
      <c r="W26" s="675"/>
      <c r="X26" s="675"/>
      <c r="Y26" s="675"/>
      <c r="Z26" s="675"/>
      <c r="AA26" s="675"/>
      <c r="AB26" s="675"/>
      <c r="AC26" s="675"/>
      <c r="AD26" s="675"/>
      <c r="AE26" s="675"/>
      <c r="AF26" s="675"/>
      <c r="AG26" s="397">
        <f>IFERROR(IF(COLUMN()=34,$F26,0),0)</f>
        <v>0</v>
      </c>
      <c r="AH26" s="397">
        <f t="shared" si="20"/>
        <v>176.50066012000002</v>
      </c>
      <c r="AI26" s="397">
        <f t="shared" si="20"/>
        <v>0</v>
      </c>
      <c r="AJ26" s="397">
        <f t="shared" si="20"/>
        <v>0</v>
      </c>
      <c r="AK26" s="397">
        <f t="shared" si="20"/>
        <v>0</v>
      </c>
      <c r="AL26" s="397">
        <f t="shared" si="20"/>
        <v>0</v>
      </c>
      <c r="AM26" s="397">
        <f t="shared" si="20"/>
        <v>0</v>
      </c>
      <c r="AN26" s="397">
        <f t="shared" si="20"/>
        <v>0</v>
      </c>
      <c r="AO26" s="397">
        <f t="shared" si="20"/>
        <v>0</v>
      </c>
      <c r="AP26" s="397">
        <f t="shared" si="20"/>
        <v>0</v>
      </c>
      <c r="AQ26" s="397">
        <f t="shared" si="20"/>
        <v>0</v>
      </c>
      <c r="AR26" s="397">
        <f t="shared" si="20"/>
        <v>0</v>
      </c>
      <c r="AS26" s="397">
        <f t="shared" si="20"/>
        <v>0</v>
      </c>
      <c r="AT26" s="397">
        <f t="shared" si="20"/>
        <v>0</v>
      </c>
      <c r="AU26" s="397">
        <f t="shared" si="20"/>
        <v>0</v>
      </c>
      <c r="AV26" s="397">
        <f t="shared" si="20"/>
        <v>0</v>
      </c>
    </row>
    <row r="27" spans="1:48" ht="18" customHeight="1">
      <c r="A27" s="626" t="s">
        <v>516</v>
      </c>
      <c r="B27" s="1171"/>
      <c r="C27" s="1182"/>
      <c r="D27" s="606" t="s">
        <v>517</v>
      </c>
      <c r="E27" s="607" t="s">
        <v>518</v>
      </c>
      <c r="F27" s="627">
        <f>IFERROR(F28+F45+F46,0)</f>
        <v>91395.502728569103</v>
      </c>
      <c r="G27" s="606"/>
      <c r="H27" s="609">
        <f t="shared" si="0"/>
        <v>83913.208247684976</v>
      </c>
      <c r="I27" s="645">
        <f>IFERROR(I28+I45+I46,0)</f>
        <v>7482.2944808841294</v>
      </c>
      <c r="J27" s="440"/>
      <c r="K27" s="644">
        <f>总建筑面积</f>
        <v>176500.66012000002</v>
      </c>
      <c r="L27" s="645">
        <f t="shared" si="1"/>
        <v>5178.1960852968332</v>
      </c>
      <c r="M27" s="646">
        <f>IFERROR(F27/总投资,0)</f>
        <v>0.19785551295477585</v>
      </c>
      <c r="N27" s="644">
        <f>IFERROR(K5,0)</f>
        <v>176500.66012000002</v>
      </c>
      <c r="O27" s="647">
        <f t="shared" si="2"/>
        <v>5178.1960852968332</v>
      </c>
      <c r="P27" s="648">
        <f>IFERROR(F27/总销售收入,0)</f>
        <v>0.18709100712931054</v>
      </c>
      <c r="Q27" s="670"/>
      <c r="R27" s="671"/>
      <c r="S27" s="671"/>
      <c r="T27" s="671"/>
      <c r="U27" s="671"/>
      <c r="V27" s="671"/>
      <c r="W27" s="671"/>
      <c r="X27" s="671"/>
      <c r="Y27" s="671"/>
      <c r="Z27" s="671"/>
      <c r="AA27" s="671"/>
      <c r="AB27" s="671"/>
      <c r="AC27" s="671"/>
      <c r="AD27" s="671"/>
      <c r="AE27" s="671"/>
      <c r="AF27" s="671"/>
      <c r="AG27" s="686">
        <f>IFERROR(AG28+AG45+AG46,0)</f>
        <v>0</v>
      </c>
      <c r="AH27" s="686">
        <f t="shared" ref="AH27:AV27" si="21">IFERROR(AH28+AH45+AH46,0)</f>
        <v>7838.0083620992527</v>
      </c>
      <c r="AI27" s="686">
        <f t="shared" si="21"/>
        <v>7838.0083620992527</v>
      </c>
      <c r="AJ27" s="686">
        <f t="shared" si="21"/>
        <v>7838.0083620992527</v>
      </c>
      <c r="AK27" s="686">
        <f t="shared" si="21"/>
        <v>7838.0083620992527</v>
      </c>
      <c r="AL27" s="686">
        <f t="shared" si="21"/>
        <v>7838.0083620992527</v>
      </c>
      <c r="AM27" s="686">
        <f t="shared" si="21"/>
        <v>7838.0083620992527</v>
      </c>
      <c r="AN27" s="686">
        <f t="shared" si="21"/>
        <v>7838.0083620992527</v>
      </c>
      <c r="AO27" s="686">
        <f t="shared" si="21"/>
        <v>7838.0083620992527</v>
      </c>
      <c r="AP27" s="686">
        <f t="shared" si="21"/>
        <v>7838.0083620992527</v>
      </c>
      <c r="AQ27" s="686">
        <f t="shared" si="21"/>
        <v>7772.9397869728909</v>
      </c>
      <c r="AR27" s="686">
        <f t="shared" si="21"/>
        <v>8549.542691500892</v>
      </c>
      <c r="AS27" s="686">
        <f t="shared" si="21"/>
        <v>0</v>
      </c>
      <c r="AT27" s="686">
        <f t="shared" si="21"/>
        <v>0</v>
      </c>
      <c r="AU27" s="686">
        <f t="shared" si="21"/>
        <v>0</v>
      </c>
      <c r="AV27" s="686">
        <f t="shared" si="21"/>
        <v>4530.9449912020564</v>
      </c>
    </row>
    <row r="28" spans="1:48" ht="18" customHeight="1">
      <c r="A28" s="610" t="s">
        <v>519</v>
      </c>
      <c r="B28" s="1171"/>
      <c r="C28" s="1182"/>
      <c r="D28" s="616">
        <v>1</v>
      </c>
      <c r="E28" s="617" t="s">
        <v>520</v>
      </c>
      <c r="F28" s="631">
        <f>IFERROR(F29+F31+F33+F37+F39+F41+F43,0)</f>
        <v>90618.899824041102</v>
      </c>
      <c r="G28" s="619"/>
      <c r="H28" s="620">
        <f t="shared" si="0"/>
        <v>83136.605343156974</v>
      </c>
      <c r="I28" s="655">
        <f>IFERROR(I29+I31+I33+I37+I39+I41+I43,0)</f>
        <v>7482.2944808841294</v>
      </c>
      <c r="J28" s="660"/>
      <c r="K28" s="656">
        <f>IFERROR(K29+K31+K33+K37+K39+K41+K43,0)</f>
        <v>173925.16012000002</v>
      </c>
      <c r="L28" s="655">
        <f t="shared" si="1"/>
        <v>5210.2237399993419</v>
      </c>
      <c r="M28" s="657"/>
      <c r="N28" s="656">
        <f>IFERROR(N29+N31+N33+N37+N39+N41+N43,0)</f>
        <v>160785.66012000002</v>
      </c>
      <c r="O28" s="658">
        <f t="shared" si="2"/>
        <v>5636.0063301919472</v>
      </c>
      <c r="P28" s="659"/>
      <c r="Q28" s="674"/>
      <c r="R28" s="655"/>
      <c r="S28" s="675"/>
      <c r="T28" s="655"/>
      <c r="U28" s="655"/>
      <c r="V28" s="675"/>
      <c r="W28" s="655"/>
      <c r="X28" s="675"/>
      <c r="Y28" s="675"/>
      <c r="Z28" s="675"/>
      <c r="AA28" s="655"/>
      <c r="AB28" s="675"/>
      <c r="AC28" s="655"/>
      <c r="AD28" s="675"/>
      <c r="AE28" s="675"/>
      <c r="AF28" s="675"/>
      <c r="AG28" s="655">
        <f>IFERROR(AG29+AG31+AG33+AG37+AG39+AG41+AG43,0)</f>
        <v>0</v>
      </c>
      <c r="AH28" s="655">
        <f t="shared" ref="AH28:AV28" si="22">IFERROR(AH29+AH31+AH33+AH37+AH39+AH41+AH43,0)</f>
        <v>7838.0083620992527</v>
      </c>
      <c r="AI28" s="655">
        <f t="shared" si="22"/>
        <v>7838.0083620992527</v>
      </c>
      <c r="AJ28" s="655">
        <f t="shared" si="22"/>
        <v>7838.0083620992527</v>
      </c>
      <c r="AK28" s="655">
        <f t="shared" si="22"/>
        <v>7838.0083620992527</v>
      </c>
      <c r="AL28" s="655">
        <f t="shared" si="22"/>
        <v>7838.0083620992527</v>
      </c>
      <c r="AM28" s="655">
        <f t="shared" si="22"/>
        <v>7838.0083620992527</v>
      </c>
      <c r="AN28" s="655">
        <f t="shared" si="22"/>
        <v>7838.0083620992527</v>
      </c>
      <c r="AO28" s="655">
        <f t="shared" si="22"/>
        <v>7838.0083620992527</v>
      </c>
      <c r="AP28" s="655">
        <f t="shared" si="22"/>
        <v>7838.0083620992527</v>
      </c>
      <c r="AQ28" s="655">
        <f t="shared" si="22"/>
        <v>7772.9397869728909</v>
      </c>
      <c r="AR28" s="655">
        <f t="shared" si="22"/>
        <v>7772.9397869728909</v>
      </c>
      <c r="AS28" s="655">
        <f t="shared" si="22"/>
        <v>0</v>
      </c>
      <c r="AT28" s="655">
        <f t="shared" si="22"/>
        <v>0</v>
      </c>
      <c r="AU28" s="655">
        <f t="shared" si="22"/>
        <v>0</v>
      </c>
      <c r="AV28" s="655">
        <f t="shared" si="22"/>
        <v>4530.9449912020564</v>
      </c>
    </row>
    <row r="29" spans="1:48" ht="18" customHeight="1">
      <c r="A29" s="610" t="s">
        <v>521</v>
      </c>
      <c r="B29" s="1171"/>
      <c r="C29" s="1182"/>
      <c r="D29" s="611">
        <v>1.1000000000000001</v>
      </c>
      <c r="E29" s="612" t="s">
        <v>522</v>
      </c>
      <c r="F29" s="622">
        <f>IFERROR(G29*K29/10000,0)</f>
        <v>9345.4258398638358</v>
      </c>
      <c r="G29" s="614">
        <f>4121.90517560769+1400+25</f>
        <v>5546.9051756076897</v>
      </c>
      <c r="H29" s="615">
        <f t="shared" si="0"/>
        <v>8573.7851741870054</v>
      </c>
      <c r="I29" s="649">
        <f>IFERROR((F29-F30)/(1+J29)*J29+I30,0)</f>
        <v>771.64066567683051</v>
      </c>
      <c r="J29" s="650">
        <v>0.09</v>
      </c>
      <c r="K29" s="651">
        <f>IFERROR(规划指标!D30,0)</f>
        <v>16848</v>
      </c>
      <c r="L29" s="649">
        <f t="shared" si="1"/>
        <v>5546.9051756076906</v>
      </c>
      <c r="M29" s="652"/>
      <c r="N29" s="651">
        <f>IFERROR(规划指标!E30,0)</f>
        <v>16848</v>
      </c>
      <c r="O29" s="653">
        <f t="shared" si="2"/>
        <v>5546.9051756076906</v>
      </c>
      <c r="P29" s="654"/>
      <c r="Q29" s="672"/>
      <c r="R29" s="673"/>
      <c r="S29" s="673"/>
      <c r="T29" s="673"/>
      <c r="U29" s="673"/>
      <c r="V29" s="673"/>
      <c r="W29" s="673"/>
      <c r="X29" s="673"/>
      <c r="Y29" s="673"/>
      <c r="Z29" s="673"/>
      <c r="AA29" s="673"/>
      <c r="AB29" s="673"/>
      <c r="AC29" s="673"/>
      <c r="AD29" s="673"/>
      <c r="AE29" s="673"/>
      <c r="AF29" s="673"/>
      <c r="AG29" s="400">
        <f>IFERROR(IF(COLUMN()&gt;=34,IF(COLUMN()&lt;44,$F29*95%/11,IF(COLUMN()=44,IF(44=48,$F29*(95%/11+5%),$F29*95%/11),IF(COLUMN()=48,$F29*5%,0))),0),0)</f>
        <v>0</v>
      </c>
      <c r="AH29" s="400">
        <f t="shared" ref="AH29:AV32" si="23">IFERROR(IF(COLUMN()&gt;=34,IF(COLUMN()&lt;44,$F29*95%/11,IF(COLUMN()=44,IF(44=48,$F29*(95%/11+5%),$F29*95%/11),IF(COLUMN()=48,$F29*5%,0))),0),0)</f>
        <v>807.10495889733113</v>
      </c>
      <c r="AI29" s="400">
        <f t="shared" si="23"/>
        <v>807.10495889733113</v>
      </c>
      <c r="AJ29" s="400">
        <f t="shared" si="23"/>
        <v>807.10495889733113</v>
      </c>
      <c r="AK29" s="400">
        <f t="shared" si="23"/>
        <v>807.10495889733113</v>
      </c>
      <c r="AL29" s="400">
        <f t="shared" si="23"/>
        <v>807.10495889733113</v>
      </c>
      <c r="AM29" s="400">
        <f t="shared" si="23"/>
        <v>807.10495889733113</v>
      </c>
      <c r="AN29" s="400">
        <f t="shared" si="23"/>
        <v>807.10495889733113</v>
      </c>
      <c r="AO29" s="400">
        <f t="shared" si="23"/>
        <v>807.10495889733113</v>
      </c>
      <c r="AP29" s="400">
        <f t="shared" si="23"/>
        <v>807.10495889733113</v>
      </c>
      <c r="AQ29" s="400">
        <f t="shared" si="23"/>
        <v>807.10495889733113</v>
      </c>
      <c r="AR29" s="400">
        <f t="shared" si="23"/>
        <v>807.10495889733113</v>
      </c>
      <c r="AS29" s="400">
        <f t="shared" si="23"/>
        <v>0</v>
      </c>
      <c r="AT29" s="400">
        <f t="shared" si="23"/>
        <v>0</v>
      </c>
      <c r="AU29" s="400">
        <f t="shared" si="23"/>
        <v>0</v>
      </c>
      <c r="AV29" s="400">
        <f t="shared" si="23"/>
        <v>467.27129199319182</v>
      </c>
    </row>
    <row r="30" spans="1:48" ht="18" customHeight="1">
      <c r="A30" s="610" t="s">
        <v>523</v>
      </c>
      <c r="B30" s="1171"/>
      <c r="C30" s="1182"/>
      <c r="D30" s="616"/>
      <c r="E30" s="617" t="s">
        <v>524</v>
      </c>
      <c r="F30" s="618"/>
      <c r="G30" s="619"/>
      <c r="H30" s="620">
        <f t="shared" si="0"/>
        <v>0</v>
      </c>
      <c r="I30" s="655">
        <f>IFERROR(F30/(1+J30)*J30,0)</f>
        <v>0</v>
      </c>
      <c r="J30" s="650">
        <v>0.13</v>
      </c>
      <c r="K30" s="656">
        <f>IFERROR(K29,0)</f>
        <v>16848</v>
      </c>
      <c r="L30" s="655">
        <f t="shared" si="1"/>
        <v>0</v>
      </c>
      <c r="M30" s="657"/>
      <c r="N30" s="656">
        <f>IFERROR(N29,0)</f>
        <v>16848</v>
      </c>
      <c r="O30" s="658">
        <f t="shared" si="2"/>
        <v>0</v>
      </c>
      <c r="P30" s="659"/>
      <c r="Q30" s="674"/>
      <c r="R30" s="675"/>
      <c r="S30" s="675"/>
      <c r="T30" s="675"/>
      <c r="U30" s="675"/>
      <c r="V30" s="675"/>
      <c r="W30" s="675"/>
      <c r="X30" s="675"/>
      <c r="Y30" s="675"/>
      <c r="Z30" s="675"/>
      <c r="AA30" s="675"/>
      <c r="AB30" s="675"/>
      <c r="AC30" s="675"/>
      <c r="AD30" s="675"/>
      <c r="AE30" s="675"/>
      <c r="AF30" s="675"/>
      <c r="AG30" s="397">
        <f>IFERROR(IF(COLUMN()&gt;=34,IF(COLUMN()&lt;44,$F30*95%/11,IF(COLUMN()=44,IF(44=48,$F30*(95%/11+5%),$F30*95%/11),IF(COLUMN()=48,$F30*5%,0))),0),0)</f>
        <v>0</v>
      </c>
      <c r="AH30" s="397">
        <f t="shared" si="23"/>
        <v>0</v>
      </c>
      <c r="AI30" s="397">
        <f t="shared" si="23"/>
        <v>0</v>
      </c>
      <c r="AJ30" s="397">
        <f t="shared" si="23"/>
        <v>0</v>
      </c>
      <c r="AK30" s="397">
        <f t="shared" si="23"/>
        <v>0</v>
      </c>
      <c r="AL30" s="397">
        <f t="shared" si="23"/>
        <v>0</v>
      </c>
      <c r="AM30" s="397">
        <f t="shared" si="23"/>
        <v>0</v>
      </c>
      <c r="AN30" s="397">
        <f t="shared" si="23"/>
        <v>0</v>
      </c>
      <c r="AO30" s="397">
        <f t="shared" si="23"/>
        <v>0</v>
      </c>
      <c r="AP30" s="397">
        <f t="shared" si="23"/>
        <v>0</v>
      </c>
      <c r="AQ30" s="397">
        <f t="shared" si="23"/>
        <v>0</v>
      </c>
      <c r="AR30" s="397">
        <f t="shared" si="23"/>
        <v>0</v>
      </c>
      <c r="AS30" s="397">
        <f t="shared" si="23"/>
        <v>0</v>
      </c>
      <c r="AT30" s="397">
        <f t="shared" si="23"/>
        <v>0</v>
      </c>
      <c r="AU30" s="397">
        <f t="shared" si="23"/>
        <v>0</v>
      </c>
      <c r="AV30" s="397">
        <f t="shared" si="23"/>
        <v>0</v>
      </c>
    </row>
    <row r="31" spans="1:48" ht="18" customHeight="1">
      <c r="A31" s="610" t="s">
        <v>525</v>
      </c>
      <c r="B31" s="1171"/>
      <c r="C31" s="1182"/>
      <c r="D31" s="611">
        <v>1.2</v>
      </c>
      <c r="E31" s="612" t="s">
        <v>526</v>
      </c>
      <c r="F31" s="622">
        <f>IFERROR(G31*K31/10000,0)</f>
        <v>49237.345636347309</v>
      </c>
      <c r="G31" s="614">
        <f>G29</f>
        <v>5546.9051756076897</v>
      </c>
      <c r="H31" s="615">
        <f t="shared" si="0"/>
        <v>45171.87673059386</v>
      </c>
      <c r="I31" s="649">
        <f>IFERROR((F31-F32)/(1+J31)*J31+I32,0)</f>
        <v>4065.4689057534474</v>
      </c>
      <c r="J31" s="650">
        <v>0.09</v>
      </c>
      <c r="K31" s="651">
        <f>IFERROR(规划指标!D31,0)</f>
        <v>88765.436000000002</v>
      </c>
      <c r="L31" s="649">
        <f t="shared" si="1"/>
        <v>5546.9051756076897</v>
      </c>
      <c r="M31" s="652"/>
      <c r="N31" s="651">
        <f>IFERROR(规划指标!E31,0)</f>
        <v>88765.436000000002</v>
      </c>
      <c r="O31" s="653">
        <f t="shared" si="2"/>
        <v>5546.9051756076897</v>
      </c>
      <c r="P31" s="654"/>
      <c r="Q31" s="672"/>
      <c r="R31" s="673"/>
      <c r="S31" s="673"/>
      <c r="T31" s="673"/>
      <c r="U31" s="673"/>
      <c r="V31" s="673"/>
      <c r="W31" s="673"/>
      <c r="X31" s="673"/>
      <c r="Y31" s="673"/>
      <c r="Z31" s="673"/>
      <c r="AA31" s="673"/>
      <c r="AB31" s="673"/>
      <c r="AC31" s="673"/>
      <c r="AD31" s="673"/>
      <c r="AE31" s="673"/>
      <c r="AF31" s="673"/>
      <c r="AG31" s="400">
        <f>IFERROR(IF(COLUMN()&gt;=34,IF(COLUMN()&lt;44,$F31*95%/11,IF(COLUMN()=44,IF(44=48,$F31*(95%/11+5%),$F31*95%/11),IF(COLUMN()=48,$F31*5%,0))),0),0)</f>
        <v>0</v>
      </c>
      <c r="AH31" s="400">
        <f t="shared" si="23"/>
        <v>4252.3162140481763</v>
      </c>
      <c r="AI31" s="400">
        <f t="shared" si="23"/>
        <v>4252.3162140481763</v>
      </c>
      <c r="AJ31" s="400">
        <f t="shared" si="23"/>
        <v>4252.3162140481763</v>
      </c>
      <c r="AK31" s="400">
        <f t="shared" si="23"/>
        <v>4252.3162140481763</v>
      </c>
      <c r="AL31" s="400">
        <f t="shared" si="23"/>
        <v>4252.3162140481763</v>
      </c>
      <c r="AM31" s="400">
        <f t="shared" si="23"/>
        <v>4252.3162140481763</v>
      </c>
      <c r="AN31" s="400">
        <f t="shared" si="23"/>
        <v>4252.3162140481763</v>
      </c>
      <c r="AO31" s="400">
        <f t="shared" si="23"/>
        <v>4252.3162140481763</v>
      </c>
      <c r="AP31" s="400">
        <f t="shared" si="23"/>
        <v>4252.3162140481763</v>
      </c>
      <c r="AQ31" s="400">
        <f t="shared" si="23"/>
        <v>4252.3162140481763</v>
      </c>
      <c r="AR31" s="400">
        <f t="shared" si="23"/>
        <v>4252.3162140481763</v>
      </c>
      <c r="AS31" s="400">
        <f t="shared" si="23"/>
        <v>0</v>
      </c>
      <c r="AT31" s="400">
        <f t="shared" si="23"/>
        <v>0</v>
      </c>
      <c r="AU31" s="400">
        <f t="shared" si="23"/>
        <v>0</v>
      </c>
      <c r="AV31" s="400">
        <f t="shared" si="23"/>
        <v>2461.8672818173654</v>
      </c>
    </row>
    <row r="32" spans="1:48" ht="18" customHeight="1">
      <c r="A32" s="610" t="s">
        <v>523</v>
      </c>
      <c r="B32" s="1171"/>
      <c r="C32" s="1182"/>
      <c r="D32" s="616"/>
      <c r="E32" s="617" t="s">
        <v>524</v>
      </c>
      <c r="F32" s="618"/>
      <c r="G32" s="619"/>
      <c r="H32" s="620">
        <f t="shared" si="0"/>
        <v>0</v>
      </c>
      <c r="I32" s="655">
        <f>IFERROR(F32/(1+J32)*J32,0)</f>
        <v>0</v>
      </c>
      <c r="J32" s="650">
        <v>0.13</v>
      </c>
      <c r="K32" s="656">
        <f>IFERROR(K31,0)</f>
        <v>88765.436000000002</v>
      </c>
      <c r="L32" s="655">
        <f t="shared" si="1"/>
        <v>0</v>
      </c>
      <c r="M32" s="657"/>
      <c r="N32" s="656">
        <f>IFERROR(N31,0)</f>
        <v>88765.436000000002</v>
      </c>
      <c r="O32" s="658">
        <f t="shared" si="2"/>
        <v>0</v>
      </c>
      <c r="P32" s="659"/>
      <c r="Q32" s="674"/>
      <c r="R32" s="675"/>
      <c r="S32" s="675"/>
      <c r="T32" s="675"/>
      <c r="U32" s="675"/>
      <c r="V32" s="675"/>
      <c r="W32" s="675"/>
      <c r="X32" s="675"/>
      <c r="Y32" s="675"/>
      <c r="Z32" s="675"/>
      <c r="AA32" s="675"/>
      <c r="AB32" s="675"/>
      <c r="AC32" s="675"/>
      <c r="AD32" s="675"/>
      <c r="AE32" s="675"/>
      <c r="AF32" s="675"/>
      <c r="AG32" s="397">
        <f>IFERROR(IF(COLUMN()&gt;=34,IF(COLUMN()&lt;44,$F32*95%/11,IF(COLUMN()=44,IF(44=48,$F32*(95%/11+5%),$F32*95%/11),IF(COLUMN()=48,$F32*5%,0))),0),0)</f>
        <v>0</v>
      </c>
      <c r="AH32" s="397">
        <f t="shared" si="23"/>
        <v>0</v>
      </c>
      <c r="AI32" s="397">
        <f t="shared" si="23"/>
        <v>0</v>
      </c>
      <c r="AJ32" s="397">
        <f t="shared" si="23"/>
        <v>0</v>
      </c>
      <c r="AK32" s="397">
        <f t="shared" si="23"/>
        <v>0</v>
      </c>
      <c r="AL32" s="397">
        <f t="shared" si="23"/>
        <v>0</v>
      </c>
      <c r="AM32" s="397">
        <f t="shared" si="23"/>
        <v>0</v>
      </c>
      <c r="AN32" s="397">
        <f t="shared" si="23"/>
        <v>0</v>
      </c>
      <c r="AO32" s="397">
        <f t="shared" si="23"/>
        <v>0</v>
      </c>
      <c r="AP32" s="397">
        <f t="shared" si="23"/>
        <v>0</v>
      </c>
      <c r="AQ32" s="397">
        <f t="shared" si="23"/>
        <v>0</v>
      </c>
      <c r="AR32" s="397">
        <f t="shared" si="23"/>
        <v>0</v>
      </c>
      <c r="AS32" s="397">
        <f t="shared" si="23"/>
        <v>0</v>
      </c>
      <c r="AT32" s="397">
        <f t="shared" si="23"/>
        <v>0</v>
      </c>
      <c r="AU32" s="397">
        <f t="shared" si="23"/>
        <v>0</v>
      </c>
      <c r="AV32" s="397">
        <f t="shared" si="23"/>
        <v>0</v>
      </c>
    </row>
    <row r="33" spans="1:48" ht="18" customHeight="1">
      <c r="A33" s="610" t="s">
        <v>527</v>
      </c>
      <c r="B33" s="1171"/>
      <c r="C33" s="1182"/>
      <c r="D33" s="611">
        <v>1.3</v>
      </c>
      <c r="E33" s="612" t="s">
        <v>528</v>
      </c>
      <c r="F33" s="622">
        <f>IFERROR(F34+F35,0)</f>
        <v>24029.233613628952</v>
      </c>
      <c r="G33" s="619"/>
      <c r="H33" s="615">
        <f t="shared" si="0"/>
        <v>22045.168452870599</v>
      </c>
      <c r="I33" s="649">
        <f>IFERROR((F33-F36)/(1+J33)*J33+I36,0)</f>
        <v>1984.0651607583536</v>
      </c>
      <c r="J33" s="650">
        <v>0.09</v>
      </c>
      <c r="K33" s="651">
        <f>IFERROR(规划指标!D38,0)</f>
        <v>50685.724119999999</v>
      </c>
      <c r="L33" s="649">
        <f t="shared" si="1"/>
        <v>4740.8287108099721</v>
      </c>
      <c r="M33" s="652"/>
      <c r="N33" s="651">
        <f>IFERROR(规划指标!D38,0)</f>
        <v>50685.724119999999</v>
      </c>
      <c r="O33" s="653">
        <f t="shared" si="2"/>
        <v>4740.8287108099721</v>
      </c>
      <c r="P33" s="654"/>
      <c r="Q33" s="672"/>
      <c r="R33" s="673"/>
      <c r="S33" s="673"/>
      <c r="T33" s="673"/>
      <c r="U33" s="673"/>
      <c r="V33" s="673"/>
      <c r="W33" s="673"/>
      <c r="X33" s="673"/>
      <c r="Y33" s="673"/>
      <c r="Z33" s="673"/>
      <c r="AA33" s="673"/>
      <c r="AB33" s="673"/>
      <c r="AC33" s="673"/>
      <c r="AD33" s="673"/>
      <c r="AE33" s="673"/>
      <c r="AF33" s="673"/>
      <c r="AG33" s="400">
        <f>IFERROR(AG34+AG35,0)</f>
        <v>0</v>
      </c>
      <c r="AH33" s="400">
        <f t="shared" ref="AH33:AV33" si="24">IFERROR(AH34+AH35,0)</f>
        <v>2075.2519939043186</v>
      </c>
      <c r="AI33" s="400">
        <f t="shared" si="24"/>
        <v>2075.2519939043186</v>
      </c>
      <c r="AJ33" s="400">
        <f t="shared" si="24"/>
        <v>2075.2519939043186</v>
      </c>
      <c r="AK33" s="400">
        <f t="shared" si="24"/>
        <v>2075.2519939043186</v>
      </c>
      <c r="AL33" s="400">
        <f t="shared" si="24"/>
        <v>2075.2519939043186</v>
      </c>
      <c r="AM33" s="400">
        <f t="shared" si="24"/>
        <v>2075.2519939043186</v>
      </c>
      <c r="AN33" s="400">
        <f t="shared" si="24"/>
        <v>2075.2519939043186</v>
      </c>
      <c r="AO33" s="400">
        <f t="shared" si="24"/>
        <v>2075.2519939043186</v>
      </c>
      <c r="AP33" s="400">
        <f t="shared" si="24"/>
        <v>2075.2519939043186</v>
      </c>
      <c r="AQ33" s="400">
        <f t="shared" si="24"/>
        <v>2075.2519939043186</v>
      </c>
      <c r="AR33" s="400">
        <f t="shared" si="24"/>
        <v>2075.2519939043186</v>
      </c>
      <c r="AS33" s="400">
        <f t="shared" si="24"/>
        <v>0</v>
      </c>
      <c r="AT33" s="400">
        <f t="shared" si="24"/>
        <v>0</v>
      </c>
      <c r="AU33" s="400">
        <f t="shared" si="24"/>
        <v>0</v>
      </c>
      <c r="AV33" s="400">
        <f t="shared" si="24"/>
        <v>1201.4616806814477</v>
      </c>
    </row>
    <row r="34" spans="1:48" ht="18" customHeight="1">
      <c r="A34" s="610" t="s">
        <v>529</v>
      </c>
      <c r="B34" s="1171"/>
      <c r="C34" s="1182"/>
      <c r="D34" s="616"/>
      <c r="E34" s="617" t="s">
        <v>530</v>
      </c>
      <c r="F34" s="631">
        <f>IFERROR(G34*K34/10000,0)</f>
        <v>17618.684962005027</v>
      </c>
      <c r="G34" s="614">
        <v>4542.6612584823697</v>
      </c>
      <c r="H34" s="620">
        <f t="shared" si="0"/>
        <v>16163.931157802777</v>
      </c>
      <c r="I34" s="655">
        <f>IFERROR(F34/(1+J34)*J34,0)</f>
        <v>1454.7538042022497</v>
      </c>
      <c r="J34" s="650">
        <v>0.09</v>
      </c>
      <c r="K34" s="656">
        <f>IFERROR(K33-K35,0)</f>
        <v>38784.941160000002</v>
      </c>
      <c r="L34" s="655">
        <f t="shared" si="1"/>
        <v>4542.6612584823697</v>
      </c>
      <c r="M34" s="657"/>
      <c r="N34" s="656">
        <f>IFERROR(N33-N35,0)</f>
        <v>38784.941160000002</v>
      </c>
      <c r="O34" s="658">
        <f t="shared" si="2"/>
        <v>4542.6612584823697</v>
      </c>
      <c r="P34" s="659"/>
      <c r="Q34" s="674"/>
      <c r="R34" s="675"/>
      <c r="S34" s="675"/>
      <c r="T34" s="675"/>
      <c r="U34" s="675"/>
      <c r="V34" s="675"/>
      <c r="W34" s="675"/>
      <c r="X34" s="675"/>
      <c r="Y34" s="675"/>
      <c r="Z34" s="675"/>
      <c r="AA34" s="675"/>
      <c r="AB34" s="675"/>
      <c r="AC34" s="675"/>
      <c r="AD34" s="675"/>
      <c r="AE34" s="675"/>
      <c r="AF34" s="675"/>
      <c r="AG34" s="397">
        <f>IFERROR(IF(COLUMN()&gt;=34,IF(COLUMN()&lt;44,$F34*95%/11,IF(COLUMN()=44,IF(44=48,$F34*(95%/11+5%),$F34*95%/11),IF(COLUMN()=48,$F34*5%,0))),0),0)</f>
        <v>0</v>
      </c>
      <c r="AH34" s="397">
        <f t="shared" ref="AH34:AV38" si="25">IFERROR(IF(COLUMN()&gt;=34,IF(COLUMN()&lt;44,$F34*95%/11,IF(COLUMN()=44,IF(44=48,$F34*(95%/11+5%),$F34*95%/11),IF(COLUMN()=48,$F34*5%,0))),0),0)</f>
        <v>1521.6137012640704</v>
      </c>
      <c r="AI34" s="397">
        <f t="shared" si="25"/>
        <v>1521.6137012640704</v>
      </c>
      <c r="AJ34" s="397">
        <f t="shared" si="25"/>
        <v>1521.6137012640704</v>
      </c>
      <c r="AK34" s="397">
        <f t="shared" si="25"/>
        <v>1521.6137012640704</v>
      </c>
      <c r="AL34" s="397">
        <f t="shared" si="25"/>
        <v>1521.6137012640704</v>
      </c>
      <c r="AM34" s="397">
        <f t="shared" si="25"/>
        <v>1521.6137012640704</v>
      </c>
      <c r="AN34" s="397">
        <f t="shared" si="25"/>
        <v>1521.6137012640704</v>
      </c>
      <c r="AO34" s="397">
        <f t="shared" si="25"/>
        <v>1521.6137012640704</v>
      </c>
      <c r="AP34" s="397">
        <f t="shared" si="25"/>
        <v>1521.6137012640704</v>
      </c>
      <c r="AQ34" s="397">
        <f t="shared" si="25"/>
        <v>1521.6137012640704</v>
      </c>
      <c r="AR34" s="397">
        <f t="shared" si="25"/>
        <v>1521.6137012640704</v>
      </c>
      <c r="AS34" s="397">
        <f t="shared" si="25"/>
        <v>0</v>
      </c>
      <c r="AT34" s="397">
        <f t="shared" si="25"/>
        <v>0</v>
      </c>
      <c r="AU34" s="397">
        <f t="shared" si="25"/>
        <v>0</v>
      </c>
      <c r="AV34" s="397">
        <f t="shared" si="25"/>
        <v>880.93424810025135</v>
      </c>
    </row>
    <row r="35" spans="1:48" ht="18" customHeight="1">
      <c r="A35" s="610" t="s">
        <v>531</v>
      </c>
      <c r="B35" s="1171"/>
      <c r="C35" s="1182"/>
      <c r="D35" s="611"/>
      <c r="E35" s="612" t="s">
        <v>532</v>
      </c>
      <c r="F35" s="622">
        <f>IFERROR(G35*K35/10000,0)</f>
        <v>6410.5486516239262</v>
      </c>
      <c r="G35" s="614">
        <v>5386.6612584823797</v>
      </c>
      <c r="H35" s="615">
        <f t="shared" si="0"/>
        <v>5881.2372950678218</v>
      </c>
      <c r="I35" s="649">
        <f>IFERROR(F35/(1+J35)*J35,0)</f>
        <v>529.31135655610399</v>
      </c>
      <c r="J35" s="650">
        <v>0.09</v>
      </c>
      <c r="K35" s="651">
        <f>IFERROR(规划指标!D39,0)</f>
        <v>11900.78296</v>
      </c>
      <c r="L35" s="649">
        <f t="shared" si="1"/>
        <v>5386.6612584823788</v>
      </c>
      <c r="M35" s="652"/>
      <c r="N35" s="651">
        <f>IFERROR(规划指标!D39,0)</f>
        <v>11900.78296</v>
      </c>
      <c r="O35" s="653">
        <f t="shared" si="2"/>
        <v>5386.6612584823788</v>
      </c>
      <c r="P35" s="654"/>
      <c r="Q35" s="672"/>
      <c r="R35" s="673"/>
      <c r="S35" s="673"/>
      <c r="T35" s="673"/>
      <c r="U35" s="673"/>
      <c r="V35" s="673"/>
      <c r="W35" s="673"/>
      <c r="X35" s="673"/>
      <c r="Y35" s="673"/>
      <c r="Z35" s="673"/>
      <c r="AA35" s="673"/>
      <c r="AB35" s="673"/>
      <c r="AC35" s="673"/>
      <c r="AD35" s="673"/>
      <c r="AE35" s="673"/>
      <c r="AF35" s="673"/>
      <c r="AG35" s="400">
        <f>IFERROR(IF(COLUMN()&gt;=34,IF(COLUMN()&lt;44,$F35*95%/11,IF(COLUMN()=44,IF(44=48,$F35*(95%/11+5%),$F35*95%/11),IF(COLUMN()=48,$F35*5%,0))),0),0)</f>
        <v>0</v>
      </c>
      <c r="AH35" s="400">
        <f t="shared" si="25"/>
        <v>553.6382926402481</v>
      </c>
      <c r="AI35" s="400">
        <f t="shared" si="25"/>
        <v>553.6382926402481</v>
      </c>
      <c r="AJ35" s="400">
        <f t="shared" si="25"/>
        <v>553.6382926402481</v>
      </c>
      <c r="AK35" s="400">
        <f t="shared" si="25"/>
        <v>553.6382926402481</v>
      </c>
      <c r="AL35" s="400">
        <f t="shared" si="25"/>
        <v>553.6382926402481</v>
      </c>
      <c r="AM35" s="400">
        <f t="shared" si="25"/>
        <v>553.6382926402481</v>
      </c>
      <c r="AN35" s="400">
        <f t="shared" si="25"/>
        <v>553.6382926402481</v>
      </c>
      <c r="AO35" s="400">
        <f t="shared" si="25"/>
        <v>553.6382926402481</v>
      </c>
      <c r="AP35" s="400">
        <f t="shared" si="25"/>
        <v>553.6382926402481</v>
      </c>
      <c r="AQ35" s="400">
        <f t="shared" si="25"/>
        <v>553.6382926402481</v>
      </c>
      <c r="AR35" s="400">
        <f t="shared" si="25"/>
        <v>553.6382926402481</v>
      </c>
      <c r="AS35" s="400">
        <f t="shared" si="25"/>
        <v>0</v>
      </c>
      <c r="AT35" s="400">
        <f t="shared" si="25"/>
        <v>0</v>
      </c>
      <c r="AU35" s="400">
        <f t="shared" si="25"/>
        <v>0</v>
      </c>
      <c r="AV35" s="400">
        <f t="shared" si="25"/>
        <v>320.52743258119631</v>
      </c>
    </row>
    <row r="36" spans="1:48" ht="18" customHeight="1">
      <c r="A36" s="610" t="s">
        <v>533</v>
      </c>
      <c r="B36" s="1171"/>
      <c r="C36" s="1182"/>
      <c r="D36" s="616"/>
      <c r="E36" s="617" t="s">
        <v>524</v>
      </c>
      <c r="F36" s="618"/>
      <c r="G36" s="619"/>
      <c r="H36" s="620">
        <f t="shared" si="0"/>
        <v>0</v>
      </c>
      <c r="I36" s="655">
        <f>IFERROR(F36/(1+J36)*J36,0)</f>
        <v>0</v>
      </c>
      <c r="J36" s="650">
        <v>0.13</v>
      </c>
      <c r="K36" s="656">
        <f>IFERROR(K33,0)</f>
        <v>50685.724119999999</v>
      </c>
      <c r="L36" s="655">
        <f t="shared" si="1"/>
        <v>0</v>
      </c>
      <c r="M36" s="657"/>
      <c r="N36" s="656">
        <f>IFERROR(N33,0)</f>
        <v>50685.724119999999</v>
      </c>
      <c r="O36" s="658">
        <f t="shared" si="2"/>
        <v>0</v>
      </c>
      <c r="P36" s="659"/>
      <c r="Q36" s="674"/>
      <c r="R36" s="675"/>
      <c r="S36" s="675"/>
      <c r="T36" s="675"/>
      <c r="U36" s="675"/>
      <c r="V36" s="675"/>
      <c r="W36" s="675"/>
      <c r="X36" s="675"/>
      <c r="Y36" s="675"/>
      <c r="Z36" s="675"/>
      <c r="AA36" s="675"/>
      <c r="AB36" s="675"/>
      <c r="AC36" s="675"/>
      <c r="AD36" s="675"/>
      <c r="AE36" s="675"/>
      <c r="AF36" s="675"/>
      <c r="AG36" s="397">
        <f>IFERROR(IF(COLUMN()&gt;=34,IF(COLUMN()&lt;44,$F36*95%/11,IF(COLUMN()=44,IF(44=48,$F36*(95%/11+5%),$F36*95%/11),IF(COLUMN()=48,$F36*5%,0))),0),0)</f>
        <v>0</v>
      </c>
      <c r="AH36" s="397">
        <f t="shared" si="25"/>
        <v>0</v>
      </c>
      <c r="AI36" s="397">
        <f t="shared" si="25"/>
        <v>0</v>
      </c>
      <c r="AJ36" s="397">
        <f t="shared" si="25"/>
        <v>0</v>
      </c>
      <c r="AK36" s="397">
        <f t="shared" si="25"/>
        <v>0</v>
      </c>
      <c r="AL36" s="397">
        <f t="shared" si="25"/>
        <v>0</v>
      </c>
      <c r="AM36" s="397">
        <f t="shared" si="25"/>
        <v>0</v>
      </c>
      <c r="AN36" s="397">
        <f t="shared" si="25"/>
        <v>0</v>
      </c>
      <c r="AO36" s="397">
        <f t="shared" si="25"/>
        <v>0</v>
      </c>
      <c r="AP36" s="397">
        <f t="shared" si="25"/>
        <v>0</v>
      </c>
      <c r="AQ36" s="397">
        <f t="shared" si="25"/>
        <v>0</v>
      </c>
      <c r="AR36" s="397">
        <f t="shared" si="25"/>
        <v>0</v>
      </c>
      <c r="AS36" s="397">
        <f t="shared" si="25"/>
        <v>0</v>
      </c>
      <c r="AT36" s="397">
        <f t="shared" si="25"/>
        <v>0</v>
      </c>
      <c r="AU36" s="397">
        <f t="shared" si="25"/>
        <v>0</v>
      </c>
      <c r="AV36" s="397">
        <f t="shared" si="25"/>
        <v>0</v>
      </c>
    </row>
    <row r="37" spans="1:48" ht="18" customHeight="1">
      <c r="A37" s="610" t="s">
        <v>534</v>
      </c>
      <c r="B37" s="1171"/>
      <c r="C37" s="1182"/>
      <c r="D37" s="611">
        <v>1.7</v>
      </c>
      <c r="E37" s="612" t="s">
        <v>535</v>
      </c>
      <c r="F37" s="622">
        <f>IFERROR(G37*K37/10000,0)</f>
        <v>5053.9636762937334</v>
      </c>
      <c r="G37" s="614">
        <f>G34</f>
        <v>4542.6612584823697</v>
      </c>
      <c r="H37" s="615">
        <f t="shared" ref="H37:H68" si="26">IFERROR(F37-I37,0)</f>
        <v>4636.6639232052603</v>
      </c>
      <c r="I37" s="649">
        <f>IFERROR((F37-F38)/(1+J37)*J37+I38,0)</f>
        <v>417.29975308847332</v>
      </c>
      <c r="J37" s="650">
        <v>0.09</v>
      </c>
      <c r="K37" s="651">
        <f>IFERROR(规划指标!D42,0)</f>
        <v>11125.557000000001</v>
      </c>
      <c r="L37" s="649">
        <f t="shared" ref="L37:L68" si="27">IFERROR(IF(K37&lt;&gt;"",IF(K37&lt;&gt;0,F37/K37*10000,""),""),0)</f>
        <v>4542.6612584823688</v>
      </c>
      <c r="M37" s="652"/>
      <c r="N37" s="651">
        <f>IFERROR(规划指标!E42,0)</f>
        <v>2839.4999999999995</v>
      </c>
      <c r="O37" s="653">
        <f t="shared" ref="O37:O68" si="28">IFERROR(IF(N37&lt;&gt;"",IF(N37&lt;&gt;0,F37/N37*10000,""),""),0)</f>
        <v>17798.780335600401</v>
      </c>
      <c r="P37" s="654"/>
      <c r="Q37" s="672"/>
      <c r="R37" s="673"/>
      <c r="S37" s="673"/>
      <c r="T37" s="673"/>
      <c r="U37" s="673"/>
      <c r="V37" s="673"/>
      <c r="W37" s="673"/>
      <c r="X37" s="673"/>
      <c r="Y37" s="673"/>
      <c r="Z37" s="673"/>
      <c r="AA37" s="673"/>
      <c r="AB37" s="673"/>
      <c r="AC37" s="673"/>
      <c r="AD37" s="673"/>
      <c r="AE37" s="673"/>
      <c r="AF37" s="673"/>
      <c r="AG37" s="400">
        <f>IFERROR(IF(COLUMN()&gt;=34,IF(COLUMN()&lt;44,$F37*95%/11,IF(COLUMN()=44,IF(44=48,$F37*(95%/11+5%),$F37*95%/11),IF(COLUMN()=48,$F37*5%,0))),0),0)</f>
        <v>0</v>
      </c>
      <c r="AH37" s="400">
        <f t="shared" si="25"/>
        <v>436.47868113445878</v>
      </c>
      <c r="AI37" s="400">
        <f t="shared" si="25"/>
        <v>436.47868113445878</v>
      </c>
      <c r="AJ37" s="400">
        <f t="shared" si="25"/>
        <v>436.47868113445878</v>
      </c>
      <c r="AK37" s="400">
        <f t="shared" si="25"/>
        <v>436.47868113445878</v>
      </c>
      <c r="AL37" s="400">
        <f t="shared" si="25"/>
        <v>436.47868113445878</v>
      </c>
      <c r="AM37" s="400">
        <f t="shared" si="25"/>
        <v>436.47868113445878</v>
      </c>
      <c r="AN37" s="400">
        <f t="shared" si="25"/>
        <v>436.47868113445878</v>
      </c>
      <c r="AO37" s="400">
        <f t="shared" si="25"/>
        <v>436.47868113445878</v>
      </c>
      <c r="AP37" s="400">
        <f t="shared" si="25"/>
        <v>436.47868113445878</v>
      </c>
      <c r="AQ37" s="400">
        <f t="shared" si="25"/>
        <v>436.47868113445878</v>
      </c>
      <c r="AR37" s="400">
        <f t="shared" si="25"/>
        <v>436.47868113445878</v>
      </c>
      <c r="AS37" s="400">
        <f t="shared" si="25"/>
        <v>0</v>
      </c>
      <c r="AT37" s="400">
        <f t="shared" si="25"/>
        <v>0</v>
      </c>
      <c r="AU37" s="400">
        <f t="shared" si="25"/>
        <v>0</v>
      </c>
      <c r="AV37" s="400">
        <f t="shared" si="25"/>
        <v>252.69818381468667</v>
      </c>
    </row>
    <row r="38" spans="1:48" ht="18" customHeight="1">
      <c r="A38" s="610" t="s">
        <v>536</v>
      </c>
      <c r="B38" s="1171"/>
      <c r="C38" s="1182"/>
      <c r="D38" s="616"/>
      <c r="E38" s="617" t="s">
        <v>524</v>
      </c>
      <c r="F38" s="618"/>
      <c r="G38" s="614"/>
      <c r="H38" s="620">
        <f t="shared" si="26"/>
        <v>0</v>
      </c>
      <c r="I38" s="655">
        <f>IFERROR(F38/(1+J38)*J38,0)</f>
        <v>0</v>
      </c>
      <c r="J38" s="650">
        <v>0.13</v>
      </c>
      <c r="K38" s="656">
        <f>IFERROR(K37,0)</f>
        <v>11125.557000000001</v>
      </c>
      <c r="L38" s="655">
        <f t="shared" si="27"/>
        <v>0</v>
      </c>
      <c r="M38" s="657"/>
      <c r="N38" s="656">
        <f>IFERROR(N37,0)</f>
        <v>2839.4999999999995</v>
      </c>
      <c r="O38" s="658">
        <f t="shared" si="28"/>
        <v>0</v>
      </c>
      <c r="P38" s="659"/>
      <c r="Q38" s="674"/>
      <c r="R38" s="675"/>
      <c r="S38" s="675"/>
      <c r="T38" s="675"/>
      <c r="U38" s="675"/>
      <c r="V38" s="675"/>
      <c r="W38" s="675"/>
      <c r="X38" s="675"/>
      <c r="Y38" s="675"/>
      <c r="Z38" s="675"/>
      <c r="AA38" s="675"/>
      <c r="AB38" s="675"/>
      <c r="AC38" s="675"/>
      <c r="AD38" s="675"/>
      <c r="AE38" s="675"/>
      <c r="AF38" s="675"/>
      <c r="AG38" s="397">
        <f>IFERROR(IF(COLUMN()&gt;=34,IF(COLUMN()&lt;44,$F38*95%/11,IF(COLUMN()=44,IF(44=48,$F38*(95%/11+5%),$F38*95%/11),IF(COLUMN()=48,$F38*5%,0))),0),0)</f>
        <v>0</v>
      </c>
      <c r="AH38" s="397">
        <f t="shared" si="25"/>
        <v>0</v>
      </c>
      <c r="AI38" s="397">
        <f t="shared" si="25"/>
        <v>0</v>
      </c>
      <c r="AJ38" s="397">
        <f t="shared" si="25"/>
        <v>0</v>
      </c>
      <c r="AK38" s="397">
        <f t="shared" si="25"/>
        <v>0</v>
      </c>
      <c r="AL38" s="397">
        <f t="shared" si="25"/>
        <v>0</v>
      </c>
      <c r="AM38" s="397">
        <f t="shared" si="25"/>
        <v>0</v>
      </c>
      <c r="AN38" s="397">
        <f t="shared" si="25"/>
        <v>0</v>
      </c>
      <c r="AO38" s="397">
        <f t="shared" si="25"/>
        <v>0</v>
      </c>
      <c r="AP38" s="397">
        <f t="shared" si="25"/>
        <v>0</v>
      </c>
      <c r="AQ38" s="397">
        <f t="shared" si="25"/>
        <v>0</v>
      </c>
      <c r="AR38" s="397">
        <f t="shared" si="25"/>
        <v>0</v>
      </c>
      <c r="AS38" s="397">
        <f t="shared" si="25"/>
        <v>0</v>
      </c>
      <c r="AT38" s="397">
        <f t="shared" si="25"/>
        <v>0</v>
      </c>
      <c r="AU38" s="397">
        <f t="shared" si="25"/>
        <v>0</v>
      </c>
      <c r="AV38" s="397">
        <f t="shared" si="25"/>
        <v>0</v>
      </c>
    </row>
    <row r="39" spans="1:48" ht="18" customHeight="1">
      <c r="A39" s="610" t="s">
        <v>537</v>
      </c>
      <c r="B39" s="1171"/>
      <c r="C39" s="1182"/>
      <c r="D39" s="611">
        <v>1.8</v>
      </c>
      <c r="E39" s="612" t="s">
        <v>538</v>
      </c>
      <c r="F39" s="622">
        <f>IFERROR(G39*K39/10000,0)</f>
        <v>616.43913277605759</v>
      </c>
      <c r="G39" s="614">
        <f>G34</f>
        <v>4542.6612584823697</v>
      </c>
      <c r="H39" s="615">
        <f t="shared" si="26"/>
        <v>565.5404887853739</v>
      </c>
      <c r="I39" s="649">
        <f>IFERROR((F39-F40)/(1+J39)*J39+I40,0)</f>
        <v>50.898643990683645</v>
      </c>
      <c r="J39" s="650">
        <v>0.09</v>
      </c>
      <c r="K39" s="651">
        <f>IFERROR(规划指标!D43,0)</f>
        <v>1357</v>
      </c>
      <c r="L39" s="649">
        <f t="shared" si="27"/>
        <v>4542.6612584823697</v>
      </c>
      <c r="M39" s="652"/>
      <c r="N39" s="651">
        <f>IFERROR(规划指标!E43,0)</f>
        <v>1097</v>
      </c>
      <c r="O39" s="653">
        <f t="shared" si="28"/>
        <v>5619.3175275848462</v>
      </c>
      <c r="P39" s="654"/>
      <c r="Q39" s="672"/>
      <c r="R39" s="673"/>
      <c r="S39" s="673"/>
      <c r="T39" s="673"/>
      <c r="U39" s="673"/>
      <c r="V39" s="673"/>
      <c r="W39" s="673"/>
      <c r="X39" s="673"/>
      <c r="Y39" s="673"/>
      <c r="Z39" s="673"/>
      <c r="AA39" s="673"/>
      <c r="AB39" s="673"/>
      <c r="AC39" s="673"/>
      <c r="AD39" s="673"/>
      <c r="AE39" s="673"/>
      <c r="AF39" s="673"/>
      <c r="AG39" s="400">
        <f>IFERROR(IF(COLUMN()&gt;=34,IF(COLUMN()&lt;42,$F39*95%/9,IF(COLUMN()=42,IF(42=48,$F39*(95%/9+5%),$F39*95%/9),IF(COLUMN()=48,$F39*5%,0))),0),0)</f>
        <v>0</v>
      </c>
      <c r="AH39" s="400">
        <f t="shared" ref="AH39:AV40" si="29">IFERROR(IF(COLUMN()&gt;=34,IF(COLUMN()&lt;42,$F39*95%/9,IF(COLUMN()=42,IF(42=48,$F39*(95%/9+5%),$F39*95%/9),IF(COLUMN()=48,$F39*5%,0))),0),0)</f>
        <v>65.068575126361623</v>
      </c>
      <c r="AI39" s="400">
        <f t="shared" si="29"/>
        <v>65.068575126361623</v>
      </c>
      <c r="AJ39" s="400">
        <f t="shared" si="29"/>
        <v>65.068575126361623</v>
      </c>
      <c r="AK39" s="400">
        <f t="shared" si="29"/>
        <v>65.068575126361623</v>
      </c>
      <c r="AL39" s="400">
        <f t="shared" si="29"/>
        <v>65.068575126361623</v>
      </c>
      <c r="AM39" s="400">
        <f t="shared" si="29"/>
        <v>65.068575126361623</v>
      </c>
      <c r="AN39" s="400">
        <f t="shared" si="29"/>
        <v>65.068575126361623</v>
      </c>
      <c r="AO39" s="400">
        <f t="shared" si="29"/>
        <v>65.068575126361623</v>
      </c>
      <c r="AP39" s="400">
        <f t="shared" si="29"/>
        <v>65.068575126361623</v>
      </c>
      <c r="AQ39" s="400">
        <f t="shared" si="29"/>
        <v>0</v>
      </c>
      <c r="AR39" s="400">
        <f t="shared" si="29"/>
        <v>0</v>
      </c>
      <c r="AS39" s="400">
        <f t="shared" si="29"/>
        <v>0</v>
      </c>
      <c r="AT39" s="400">
        <f t="shared" si="29"/>
        <v>0</v>
      </c>
      <c r="AU39" s="400">
        <f t="shared" si="29"/>
        <v>0</v>
      </c>
      <c r="AV39" s="400">
        <f t="shared" si="29"/>
        <v>30.821956638802881</v>
      </c>
    </row>
    <row r="40" spans="1:48" ht="18" customHeight="1">
      <c r="A40" s="610" t="s">
        <v>536</v>
      </c>
      <c r="B40" s="1171"/>
      <c r="C40" s="1182"/>
      <c r="D40" s="616"/>
      <c r="E40" s="617" t="s">
        <v>524</v>
      </c>
      <c r="F40" s="618"/>
      <c r="G40" s="614"/>
      <c r="H40" s="620">
        <f t="shared" si="26"/>
        <v>0</v>
      </c>
      <c r="I40" s="655">
        <f>IFERROR(F40/(1+J40)*J40,0)</f>
        <v>0</v>
      </c>
      <c r="J40" s="650">
        <v>0.13</v>
      </c>
      <c r="K40" s="656">
        <f>IFERROR(K39,0)</f>
        <v>1357</v>
      </c>
      <c r="L40" s="655">
        <f t="shared" si="27"/>
        <v>0</v>
      </c>
      <c r="M40" s="657"/>
      <c r="N40" s="656">
        <f>IFERROR(N39,0)</f>
        <v>1097</v>
      </c>
      <c r="O40" s="658">
        <f t="shared" si="28"/>
        <v>0</v>
      </c>
      <c r="P40" s="659"/>
      <c r="Q40" s="674"/>
      <c r="R40" s="675"/>
      <c r="S40" s="675"/>
      <c r="T40" s="675"/>
      <c r="U40" s="675"/>
      <c r="V40" s="675"/>
      <c r="W40" s="675"/>
      <c r="X40" s="675"/>
      <c r="Y40" s="675"/>
      <c r="Z40" s="675"/>
      <c r="AA40" s="675"/>
      <c r="AB40" s="675"/>
      <c r="AC40" s="675"/>
      <c r="AD40" s="675"/>
      <c r="AE40" s="675"/>
      <c r="AF40" s="675"/>
      <c r="AG40" s="397">
        <f>IFERROR(IF(COLUMN()&gt;=34,IF(COLUMN()&lt;42,$F40*95%/9,IF(COLUMN()=42,IF(42=48,$F40*(95%/9+5%),$F40*95%/9),IF(COLUMN()=48,$F40*5%,0))),0),0)</f>
        <v>0</v>
      </c>
      <c r="AH40" s="397">
        <f t="shared" si="29"/>
        <v>0</v>
      </c>
      <c r="AI40" s="397">
        <f t="shared" si="29"/>
        <v>0</v>
      </c>
      <c r="AJ40" s="397">
        <f t="shared" si="29"/>
        <v>0</v>
      </c>
      <c r="AK40" s="397">
        <f t="shared" si="29"/>
        <v>0</v>
      </c>
      <c r="AL40" s="397">
        <f t="shared" si="29"/>
        <v>0</v>
      </c>
      <c r="AM40" s="397">
        <f t="shared" si="29"/>
        <v>0</v>
      </c>
      <c r="AN40" s="397">
        <f t="shared" si="29"/>
        <v>0</v>
      </c>
      <c r="AO40" s="397">
        <f t="shared" si="29"/>
        <v>0</v>
      </c>
      <c r="AP40" s="397">
        <f t="shared" si="29"/>
        <v>0</v>
      </c>
      <c r="AQ40" s="397">
        <f t="shared" si="29"/>
        <v>0</v>
      </c>
      <c r="AR40" s="397">
        <f t="shared" si="29"/>
        <v>0</v>
      </c>
      <c r="AS40" s="397">
        <f t="shared" si="29"/>
        <v>0</v>
      </c>
      <c r="AT40" s="397">
        <f t="shared" si="29"/>
        <v>0</v>
      </c>
      <c r="AU40" s="397">
        <f t="shared" si="29"/>
        <v>0</v>
      </c>
      <c r="AV40" s="397">
        <f t="shared" si="29"/>
        <v>0</v>
      </c>
    </row>
    <row r="41" spans="1:48" ht="18" customHeight="1">
      <c r="A41" s="610" t="s">
        <v>539</v>
      </c>
      <c r="B41" s="1171"/>
      <c r="C41" s="1182"/>
      <c r="D41" s="611">
        <v>1.9</v>
      </c>
      <c r="E41" s="612" t="s">
        <v>540</v>
      </c>
      <c r="F41" s="622">
        <f>IFERROR(G41*K41/10000,0)</f>
        <v>249.84636921653035</v>
      </c>
      <c r="G41" s="614">
        <f>G34</f>
        <v>4542.6612584823697</v>
      </c>
      <c r="H41" s="615">
        <f t="shared" si="26"/>
        <v>229.21685249222969</v>
      </c>
      <c r="I41" s="649">
        <f>IFERROR((F41-F42)/(1+J41)*J41+I42,0)</f>
        <v>20.629516724300668</v>
      </c>
      <c r="J41" s="650">
        <v>0.09</v>
      </c>
      <c r="K41" s="651">
        <f>IFERROR(规划指标!D44,0)</f>
        <v>550</v>
      </c>
      <c r="L41" s="649">
        <f t="shared" si="27"/>
        <v>4542.6612584823697</v>
      </c>
      <c r="M41" s="652"/>
      <c r="N41" s="651">
        <f>IFERROR(规划指标!E44,0)</f>
        <v>550</v>
      </c>
      <c r="O41" s="653">
        <f t="shared" si="28"/>
        <v>4542.6612584823697</v>
      </c>
      <c r="P41" s="654"/>
      <c r="Q41" s="672"/>
      <c r="R41" s="673"/>
      <c r="S41" s="673"/>
      <c r="T41" s="673"/>
      <c r="U41" s="673"/>
      <c r="V41" s="673"/>
      <c r="W41" s="673"/>
      <c r="X41" s="673"/>
      <c r="Y41" s="673"/>
      <c r="Z41" s="673"/>
      <c r="AA41" s="673"/>
      <c r="AB41" s="673"/>
      <c r="AC41" s="673"/>
      <c r="AD41" s="673"/>
      <c r="AE41" s="673"/>
      <c r="AF41" s="673"/>
      <c r="AG41" s="400">
        <f>IFERROR(IF(COLUMN()&gt;=34,IF(COLUMN()&lt;44,$F41*95%/11,IF(COLUMN()=44,IF(44=48,$F41*(95%/11+5%),$F41*95%/11),IF(COLUMN()=48,$F41*5%,0))),0),0)</f>
        <v>0</v>
      </c>
      <c r="AH41" s="400">
        <f t="shared" ref="AH41:AV44" si="30">IFERROR(IF(COLUMN()&gt;=34,IF(COLUMN()&lt;44,$F41*95%/11,IF(COLUMN()=44,IF(44=48,$F41*(95%/11+5%),$F41*95%/11),IF(COLUMN()=48,$F41*5%,0))),0),0)</f>
        <v>21.577640977791255</v>
      </c>
      <c r="AI41" s="400">
        <f t="shared" si="30"/>
        <v>21.577640977791255</v>
      </c>
      <c r="AJ41" s="400">
        <f t="shared" si="30"/>
        <v>21.577640977791255</v>
      </c>
      <c r="AK41" s="400">
        <f t="shared" si="30"/>
        <v>21.577640977791255</v>
      </c>
      <c r="AL41" s="400">
        <f t="shared" si="30"/>
        <v>21.577640977791255</v>
      </c>
      <c r="AM41" s="400">
        <f t="shared" si="30"/>
        <v>21.577640977791255</v>
      </c>
      <c r="AN41" s="400">
        <f t="shared" si="30"/>
        <v>21.577640977791255</v>
      </c>
      <c r="AO41" s="400">
        <f t="shared" si="30"/>
        <v>21.577640977791255</v>
      </c>
      <c r="AP41" s="400">
        <f t="shared" si="30"/>
        <v>21.577640977791255</v>
      </c>
      <c r="AQ41" s="400">
        <f t="shared" si="30"/>
        <v>21.577640977791255</v>
      </c>
      <c r="AR41" s="400">
        <f t="shared" si="30"/>
        <v>21.577640977791255</v>
      </c>
      <c r="AS41" s="400">
        <f t="shared" si="30"/>
        <v>0</v>
      </c>
      <c r="AT41" s="400">
        <f t="shared" si="30"/>
        <v>0</v>
      </c>
      <c r="AU41" s="400">
        <f t="shared" si="30"/>
        <v>0</v>
      </c>
      <c r="AV41" s="400">
        <f t="shared" si="30"/>
        <v>12.492318460826517</v>
      </c>
    </row>
    <row r="42" spans="1:48" ht="18" customHeight="1">
      <c r="A42" s="610" t="s">
        <v>536</v>
      </c>
      <c r="B42" s="1171"/>
      <c r="C42" s="1182"/>
      <c r="D42" s="616"/>
      <c r="E42" s="617" t="s">
        <v>524</v>
      </c>
      <c r="F42" s="618"/>
      <c r="G42" s="614"/>
      <c r="H42" s="620">
        <f t="shared" si="26"/>
        <v>0</v>
      </c>
      <c r="I42" s="655">
        <f>IFERROR(F42/(1+J42)*J42,0)</f>
        <v>0</v>
      </c>
      <c r="J42" s="650">
        <v>0.13</v>
      </c>
      <c r="K42" s="656">
        <f>IFERROR(K41,0)</f>
        <v>550</v>
      </c>
      <c r="L42" s="655">
        <f t="shared" si="27"/>
        <v>0</v>
      </c>
      <c r="M42" s="657"/>
      <c r="N42" s="656">
        <f>IFERROR(N41,0)</f>
        <v>550</v>
      </c>
      <c r="O42" s="658">
        <f t="shared" si="28"/>
        <v>0</v>
      </c>
      <c r="P42" s="659"/>
      <c r="Q42" s="674"/>
      <c r="R42" s="675"/>
      <c r="S42" s="675"/>
      <c r="T42" s="675"/>
      <c r="U42" s="675"/>
      <c r="V42" s="675"/>
      <c r="W42" s="675"/>
      <c r="X42" s="675"/>
      <c r="Y42" s="675"/>
      <c r="Z42" s="675"/>
      <c r="AA42" s="675"/>
      <c r="AB42" s="675"/>
      <c r="AC42" s="675"/>
      <c r="AD42" s="675"/>
      <c r="AE42" s="675"/>
      <c r="AF42" s="675"/>
      <c r="AG42" s="397">
        <f>IFERROR(IF(COLUMN()&gt;=34,IF(COLUMN()&lt;44,$F42*95%/11,IF(COLUMN()=44,IF(44=48,$F42*(95%/11+5%),$F42*95%/11),IF(COLUMN()=48,$F42*5%,0))),0),0)</f>
        <v>0</v>
      </c>
      <c r="AH42" s="397">
        <f t="shared" si="30"/>
        <v>0</v>
      </c>
      <c r="AI42" s="397">
        <f t="shared" si="30"/>
        <v>0</v>
      </c>
      <c r="AJ42" s="397">
        <f t="shared" si="30"/>
        <v>0</v>
      </c>
      <c r="AK42" s="397">
        <f t="shared" si="30"/>
        <v>0</v>
      </c>
      <c r="AL42" s="397">
        <f t="shared" si="30"/>
        <v>0</v>
      </c>
      <c r="AM42" s="397">
        <f t="shared" si="30"/>
        <v>0</v>
      </c>
      <c r="AN42" s="397">
        <f t="shared" si="30"/>
        <v>0</v>
      </c>
      <c r="AO42" s="397">
        <f t="shared" si="30"/>
        <v>0</v>
      </c>
      <c r="AP42" s="397">
        <f t="shared" si="30"/>
        <v>0</v>
      </c>
      <c r="AQ42" s="397">
        <f t="shared" si="30"/>
        <v>0</v>
      </c>
      <c r="AR42" s="397">
        <f t="shared" si="30"/>
        <v>0</v>
      </c>
      <c r="AS42" s="397">
        <f t="shared" si="30"/>
        <v>0</v>
      </c>
      <c r="AT42" s="397">
        <f t="shared" si="30"/>
        <v>0</v>
      </c>
      <c r="AU42" s="397">
        <f t="shared" si="30"/>
        <v>0</v>
      </c>
      <c r="AV42" s="397">
        <f t="shared" si="30"/>
        <v>0</v>
      </c>
    </row>
    <row r="43" spans="1:48" ht="18" customHeight="1">
      <c r="A43" s="610" t="s">
        <v>541</v>
      </c>
      <c r="B43" s="1171"/>
      <c r="C43" s="1182"/>
      <c r="D43" s="611">
        <v>1.1000000000000001</v>
      </c>
      <c r="E43" s="612" t="s">
        <v>542</v>
      </c>
      <c r="F43" s="622">
        <f>IFERROR(G43*K43/10000,0)</f>
        <v>2086.6455559147034</v>
      </c>
      <c r="G43" s="614">
        <f>G34</f>
        <v>4542.6612584823697</v>
      </c>
      <c r="H43" s="615">
        <f t="shared" si="26"/>
        <v>1914.3537210226636</v>
      </c>
      <c r="I43" s="649">
        <f>IFERROR((F43-F44)/(1+J43)*J43+I44,0)</f>
        <v>172.29183489203973</v>
      </c>
      <c r="J43" s="650">
        <v>0.09</v>
      </c>
      <c r="K43" s="651">
        <f>IFERROR(规划指标!D45,0)</f>
        <v>4593.4430000000002</v>
      </c>
      <c r="L43" s="649">
        <f t="shared" si="27"/>
        <v>4542.6612584823697</v>
      </c>
      <c r="M43" s="652"/>
      <c r="N43" s="651">
        <f>IFERROR(规划指标!E45,0)</f>
        <v>0</v>
      </c>
      <c r="O43" s="653" t="str">
        <f t="shared" si="28"/>
        <v/>
      </c>
      <c r="P43" s="654"/>
      <c r="Q43" s="672"/>
      <c r="R43" s="673"/>
      <c r="S43" s="673"/>
      <c r="T43" s="673"/>
      <c r="U43" s="673"/>
      <c r="V43" s="673"/>
      <c r="W43" s="673"/>
      <c r="X43" s="673"/>
      <c r="Y43" s="673"/>
      <c r="Z43" s="673"/>
      <c r="AA43" s="673"/>
      <c r="AB43" s="673"/>
      <c r="AC43" s="673"/>
      <c r="AD43" s="673"/>
      <c r="AE43" s="673"/>
      <c r="AF43" s="673"/>
      <c r="AG43" s="400">
        <f>IFERROR(IF(COLUMN()&gt;=34,IF(COLUMN()&lt;44,$F43*95%/11,IF(COLUMN()=44,IF(44=48,$F43*(95%/11+5%),$F43*95%/11),IF(COLUMN()=48,$F43*5%,0))),0),0)</f>
        <v>0</v>
      </c>
      <c r="AH43" s="400">
        <f t="shared" si="30"/>
        <v>180.21029801081528</v>
      </c>
      <c r="AI43" s="400">
        <f t="shared" si="30"/>
        <v>180.21029801081528</v>
      </c>
      <c r="AJ43" s="400">
        <f t="shared" si="30"/>
        <v>180.21029801081528</v>
      </c>
      <c r="AK43" s="400">
        <f t="shared" si="30"/>
        <v>180.21029801081528</v>
      </c>
      <c r="AL43" s="400">
        <f t="shared" si="30"/>
        <v>180.21029801081528</v>
      </c>
      <c r="AM43" s="400">
        <f t="shared" si="30"/>
        <v>180.21029801081528</v>
      </c>
      <c r="AN43" s="400">
        <f t="shared" si="30"/>
        <v>180.21029801081528</v>
      </c>
      <c r="AO43" s="400">
        <f t="shared" si="30"/>
        <v>180.21029801081528</v>
      </c>
      <c r="AP43" s="400">
        <f t="shared" si="30"/>
        <v>180.21029801081528</v>
      </c>
      <c r="AQ43" s="400">
        <f t="shared" si="30"/>
        <v>180.21029801081528</v>
      </c>
      <c r="AR43" s="400">
        <f t="shared" si="30"/>
        <v>180.21029801081528</v>
      </c>
      <c r="AS43" s="400">
        <f t="shared" si="30"/>
        <v>0</v>
      </c>
      <c r="AT43" s="400">
        <f t="shared" si="30"/>
        <v>0</v>
      </c>
      <c r="AU43" s="400">
        <f t="shared" si="30"/>
        <v>0</v>
      </c>
      <c r="AV43" s="400">
        <f t="shared" si="30"/>
        <v>104.33227779573518</v>
      </c>
    </row>
    <row r="44" spans="1:48" ht="18" customHeight="1">
      <c r="A44" s="610" t="s">
        <v>536</v>
      </c>
      <c r="B44" s="1171"/>
      <c r="C44" s="1182"/>
      <c r="D44" s="616"/>
      <c r="E44" s="617" t="s">
        <v>524</v>
      </c>
      <c r="F44" s="618"/>
      <c r="G44" s="619"/>
      <c r="H44" s="620">
        <f t="shared" si="26"/>
        <v>0</v>
      </c>
      <c r="I44" s="655">
        <f>IFERROR(F44/(1+J44)*J44,0)</f>
        <v>0</v>
      </c>
      <c r="J44" s="650">
        <v>0.13</v>
      </c>
      <c r="K44" s="656">
        <f>IFERROR(K43,0)</f>
        <v>4593.4430000000002</v>
      </c>
      <c r="L44" s="655">
        <f t="shared" si="27"/>
        <v>0</v>
      </c>
      <c r="M44" s="657"/>
      <c r="N44" s="656">
        <f>IFERROR(N43,0)</f>
        <v>0</v>
      </c>
      <c r="O44" s="658" t="str">
        <f t="shared" si="28"/>
        <v/>
      </c>
      <c r="P44" s="659"/>
      <c r="Q44" s="674"/>
      <c r="R44" s="675"/>
      <c r="S44" s="675"/>
      <c r="T44" s="675"/>
      <c r="U44" s="675"/>
      <c r="V44" s="675"/>
      <c r="W44" s="675"/>
      <c r="X44" s="675"/>
      <c r="Y44" s="675"/>
      <c r="Z44" s="675"/>
      <c r="AA44" s="675"/>
      <c r="AB44" s="675"/>
      <c r="AC44" s="675"/>
      <c r="AD44" s="675"/>
      <c r="AE44" s="675"/>
      <c r="AF44" s="675"/>
      <c r="AG44" s="397">
        <f>IFERROR(IF(COLUMN()&gt;=34,IF(COLUMN()&lt;44,$F44*95%/11,IF(COLUMN()=44,IF(44=48,$F44*(95%/11+5%),$F44*95%/11),IF(COLUMN()=48,$F44*5%,0))),0),0)</f>
        <v>0</v>
      </c>
      <c r="AH44" s="397">
        <f t="shared" si="30"/>
        <v>0</v>
      </c>
      <c r="AI44" s="397">
        <f t="shared" si="30"/>
        <v>0</v>
      </c>
      <c r="AJ44" s="397">
        <f t="shared" si="30"/>
        <v>0</v>
      </c>
      <c r="AK44" s="397">
        <f t="shared" si="30"/>
        <v>0</v>
      </c>
      <c r="AL44" s="397">
        <f t="shared" si="30"/>
        <v>0</v>
      </c>
      <c r="AM44" s="397">
        <f t="shared" si="30"/>
        <v>0</v>
      </c>
      <c r="AN44" s="397">
        <f t="shared" si="30"/>
        <v>0</v>
      </c>
      <c r="AO44" s="397">
        <f t="shared" si="30"/>
        <v>0</v>
      </c>
      <c r="AP44" s="397">
        <f t="shared" si="30"/>
        <v>0</v>
      </c>
      <c r="AQ44" s="397">
        <f t="shared" si="30"/>
        <v>0</v>
      </c>
      <c r="AR44" s="397">
        <f t="shared" si="30"/>
        <v>0</v>
      </c>
      <c r="AS44" s="397">
        <f t="shared" si="30"/>
        <v>0</v>
      </c>
      <c r="AT44" s="397">
        <f t="shared" si="30"/>
        <v>0</v>
      </c>
      <c r="AU44" s="397">
        <f t="shared" si="30"/>
        <v>0</v>
      </c>
      <c r="AV44" s="397">
        <f t="shared" si="30"/>
        <v>0</v>
      </c>
    </row>
    <row r="45" spans="1:48" ht="18" customHeight="1">
      <c r="A45" s="610" t="s">
        <v>543</v>
      </c>
      <c r="B45" s="1171"/>
      <c r="C45" s="1182"/>
      <c r="D45" s="611">
        <v>2</v>
      </c>
      <c r="E45" s="612" t="s">
        <v>544</v>
      </c>
      <c r="F45" s="613">
        <f>IFERROR(G45*(F28),0)</f>
        <v>0</v>
      </c>
      <c r="G45" s="623">
        <v>0</v>
      </c>
      <c r="H45" s="615">
        <f t="shared" si="26"/>
        <v>0</v>
      </c>
      <c r="I45" s="649">
        <f>IFERROR(F45/(1+J45)*J45,0)</f>
        <v>0</v>
      </c>
      <c r="J45" s="650">
        <v>0.06</v>
      </c>
      <c r="K45" s="651">
        <f>IFERROR(K28,0)</f>
        <v>173925.16012000002</v>
      </c>
      <c r="L45" s="649">
        <f t="shared" si="27"/>
        <v>0</v>
      </c>
      <c r="M45" s="652"/>
      <c r="N45" s="651">
        <f>IFERROR(N28,0)</f>
        <v>160785.66012000002</v>
      </c>
      <c r="O45" s="653">
        <f t="shared" si="28"/>
        <v>0</v>
      </c>
      <c r="P45" s="654"/>
      <c r="Q45" s="681">
        <v>0.01</v>
      </c>
      <c r="R45" s="673"/>
      <c r="S45" s="673"/>
      <c r="T45" s="673"/>
      <c r="U45" s="673"/>
      <c r="V45" s="673"/>
      <c r="W45" s="673"/>
      <c r="X45" s="673"/>
      <c r="Y45" s="673"/>
      <c r="Z45" s="673"/>
      <c r="AA45" s="673"/>
      <c r="AB45" s="673"/>
      <c r="AC45" s="673"/>
      <c r="AD45" s="673"/>
      <c r="AE45" s="673"/>
      <c r="AF45" s="673"/>
      <c r="AG45" s="400">
        <f>IFERROR((AG28)*$G45,0)</f>
        <v>0</v>
      </c>
      <c r="AH45" s="400">
        <f t="shared" ref="AH45:AV45" si="31">IFERROR((AH28)*$G45,0)</f>
        <v>0</v>
      </c>
      <c r="AI45" s="400">
        <f t="shared" si="31"/>
        <v>0</v>
      </c>
      <c r="AJ45" s="400">
        <f t="shared" si="31"/>
        <v>0</v>
      </c>
      <c r="AK45" s="400">
        <f t="shared" si="31"/>
        <v>0</v>
      </c>
      <c r="AL45" s="400">
        <f t="shared" si="31"/>
        <v>0</v>
      </c>
      <c r="AM45" s="400">
        <f t="shared" si="31"/>
        <v>0</v>
      </c>
      <c r="AN45" s="400">
        <f t="shared" si="31"/>
        <v>0</v>
      </c>
      <c r="AO45" s="400">
        <f t="shared" si="31"/>
        <v>0</v>
      </c>
      <c r="AP45" s="400">
        <f t="shared" si="31"/>
        <v>0</v>
      </c>
      <c r="AQ45" s="400">
        <f t="shared" si="31"/>
        <v>0</v>
      </c>
      <c r="AR45" s="400">
        <f t="shared" si="31"/>
        <v>0</v>
      </c>
      <c r="AS45" s="400">
        <f t="shared" si="31"/>
        <v>0</v>
      </c>
      <c r="AT45" s="400">
        <f t="shared" si="31"/>
        <v>0</v>
      </c>
      <c r="AU45" s="400">
        <f t="shared" si="31"/>
        <v>0</v>
      </c>
      <c r="AV45" s="400">
        <f t="shared" si="31"/>
        <v>0</v>
      </c>
    </row>
    <row r="46" spans="1:48" ht="18" customHeight="1">
      <c r="A46" s="610" t="s">
        <v>545</v>
      </c>
      <c r="B46" s="1171"/>
      <c r="C46" s="1182"/>
      <c r="D46" s="616">
        <v>3</v>
      </c>
      <c r="E46" s="617" t="s">
        <v>546</v>
      </c>
      <c r="F46" s="624">
        <f>IFERROR(K46*G46/10000,0)</f>
        <v>776.60290452800109</v>
      </c>
      <c r="G46" s="614">
        <v>44.651556105636601</v>
      </c>
      <c r="H46" s="620">
        <f t="shared" si="26"/>
        <v>776.60290452800109</v>
      </c>
      <c r="I46" s="655">
        <f>IFERROR(F46/(1+J46)*J46,0)</f>
        <v>0</v>
      </c>
      <c r="J46" s="660"/>
      <c r="K46" s="656">
        <f>IFERROR(K28,0)</f>
        <v>173925.16012000002</v>
      </c>
      <c r="L46" s="655">
        <f t="shared" si="27"/>
        <v>44.651556105636608</v>
      </c>
      <c r="M46" s="657"/>
      <c r="N46" s="656">
        <f>IFERROR(N28,0)</f>
        <v>160785.66012000002</v>
      </c>
      <c r="O46" s="658">
        <f t="shared" si="28"/>
        <v>48.300507890342637</v>
      </c>
      <c r="P46" s="659"/>
      <c r="Q46" s="674"/>
      <c r="R46" s="675"/>
      <c r="S46" s="675"/>
      <c r="T46" s="675"/>
      <c r="U46" s="675"/>
      <c r="V46" s="675"/>
      <c r="W46" s="675"/>
      <c r="X46" s="675"/>
      <c r="Y46" s="675"/>
      <c r="Z46" s="675"/>
      <c r="AA46" s="675"/>
      <c r="AB46" s="675"/>
      <c r="AC46" s="675"/>
      <c r="AD46" s="675"/>
      <c r="AE46" s="675"/>
      <c r="AF46" s="675"/>
      <c r="AG46" s="397">
        <f>IFERROR(IF(COLUMN()=44,$F46,0),0)</f>
        <v>0</v>
      </c>
      <c r="AH46" s="397">
        <f t="shared" ref="AH46:AV46" si="32">IFERROR(IF(COLUMN()=44,$F46,0),0)</f>
        <v>0</v>
      </c>
      <c r="AI46" s="397">
        <f t="shared" si="32"/>
        <v>0</v>
      </c>
      <c r="AJ46" s="397">
        <f t="shared" si="32"/>
        <v>0</v>
      </c>
      <c r="AK46" s="397">
        <f t="shared" si="32"/>
        <v>0</v>
      </c>
      <c r="AL46" s="397">
        <f t="shared" si="32"/>
        <v>0</v>
      </c>
      <c r="AM46" s="397">
        <f t="shared" si="32"/>
        <v>0</v>
      </c>
      <c r="AN46" s="397">
        <f t="shared" si="32"/>
        <v>0</v>
      </c>
      <c r="AO46" s="397">
        <f t="shared" si="32"/>
        <v>0</v>
      </c>
      <c r="AP46" s="397">
        <f t="shared" si="32"/>
        <v>0</v>
      </c>
      <c r="AQ46" s="397">
        <f t="shared" si="32"/>
        <v>0</v>
      </c>
      <c r="AR46" s="397">
        <f t="shared" si="32"/>
        <v>776.60290452800109</v>
      </c>
      <c r="AS46" s="397">
        <f t="shared" si="32"/>
        <v>0</v>
      </c>
      <c r="AT46" s="397">
        <f t="shared" si="32"/>
        <v>0</v>
      </c>
      <c r="AU46" s="397">
        <f t="shared" si="32"/>
        <v>0</v>
      </c>
      <c r="AV46" s="397">
        <f t="shared" si="32"/>
        <v>0</v>
      </c>
    </row>
    <row r="47" spans="1:48" ht="18" customHeight="1">
      <c r="A47" s="626" t="s">
        <v>547</v>
      </c>
      <c r="B47" s="1171"/>
      <c r="C47" s="1182"/>
      <c r="D47" s="606" t="s">
        <v>548</v>
      </c>
      <c r="E47" s="607" t="s">
        <v>549</v>
      </c>
      <c r="F47" s="627">
        <f>IFERROR(SUM(F48:F51),0)</f>
        <v>13659.551743440001</v>
      </c>
      <c r="G47" s="606"/>
      <c r="H47" s="609">
        <f t="shared" si="26"/>
        <v>12531.698847192662</v>
      </c>
      <c r="I47" s="645">
        <f>IFERROR(SUM(I48:I51),0)</f>
        <v>1127.8528962473395</v>
      </c>
      <c r="J47" s="440"/>
      <c r="K47" s="644">
        <f>总建筑面积</f>
        <v>176500.66012000002</v>
      </c>
      <c r="L47" s="645">
        <f t="shared" si="27"/>
        <v>773.90938561663665</v>
      </c>
      <c r="M47" s="646">
        <f>IFERROR(F47/总投资,0)</f>
        <v>2.9570575534301639E-2</v>
      </c>
      <c r="N47" s="644">
        <f>IFERROR(K5,0)</f>
        <v>176500.66012000002</v>
      </c>
      <c r="O47" s="647">
        <f t="shared" si="28"/>
        <v>773.90938561663665</v>
      </c>
      <c r="P47" s="648">
        <f>IFERROR(F47/总销售收入,0)</f>
        <v>2.7961761972083086E-2</v>
      </c>
      <c r="Q47" s="670"/>
      <c r="R47" s="671"/>
      <c r="S47" s="671"/>
      <c r="T47" s="671"/>
      <c r="U47" s="671"/>
      <c r="V47" s="671"/>
      <c r="W47" s="671"/>
      <c r="X47" s="671"/>
      <c r="Y47" s="671"/>
      <c r="Z47" s="671"/>
      <c r="AA47" s="671"/>
      <c r="AB47" s="671"/>
      <c r="AC47" s="671"/>
      <c r="AD47" s="671"/>
      <c r="AE47" s="671"/>
      <c r="AF47" s="671"/>
      <c r="AG47" s="685">
        <f>IFERROR(SUM(AG48:AG51),0)</f>
        <v>0</v>
      </c>
      <c r="AH47" s="685">
        <f t="shared" ref="AH47:AV47" si="33">IFERROR(SUM(AH48:AH51),0)</f>
        <v>1179.6885596607274</v>
      </c>
      <c r="AI47" s="685">
        <f t="shared" si="33"/>
        <v>1179.6885596607274</v>
      </c>
      <c r="AJ47" s="685">
        <f t="shared" si="33"/>
        <v>1179.6885596607274</v>
      </c>
      <c r="AK47" s="685">
        <f t="shared" si="33"/>
        <v>1179.6885596607274</v>
      </c>
      <c r="AL47" s="685">
        <f t="shared" si="33"/>
        <v>1179.6885596607274</v>
      </c>
      <c r="AM47" s="685">
        <f t="shared" si="33"/>
        <v>1179.6885596607274</v>
      </c>
      <c r="AN47" s="685">
        <f t="shared" si="33"/>
        <v>1179.6885596607274</v>
      </c>
      <c r="AO47" s="685">
        <f t="shared" si="33"/>
        <v>1179.6885596607274</v>
      </c>
      <c r="AP47" s="685">
        <f t="shared" si="33"/>
        <v>1179.6885596607274</v>
      </c>
      <c r="AQ47" s="685">
        <f t="shared" si="33"/>
        <v>1179.6885596607274</v>
      </c>
      <c r="AR47" s="685">
        <f t="shared" si="33"/>
        <v>1179.6885596607274</v>
      </c>
      <c r="AS47" s="685">
        <f t="shared" si="33"/>
        <v>0</v>
      </c>
      <c r="AT47" s="685">
        <f t="shared" si="33"/>
        <v>0</v>
      </c>
      <c r="AU47" s="685">
        <f t="shared" si="33"/>
        <v>0</v>
      </c>
      <c r="AV47" s="685">
        <f t="shared" si="33"/>
        <v>682.97758717200009</v>
      </c>
    </row>
    <row r="48" spans="1:48" ht="18" customHeight="1">
      <c r="A48" s="610" t="s">
        <v>550</v>
      </c>
      <c r="B48" s="1171"/>
      <c r="C48" s="1182"/>
      <c r="D48" s="616">
        <v>1</v>
      </c>
      <c r="E48" s="617" t="s">
        <v>551</v>
      </c>
      <c r="F48" s="624">
        <f>IFERROR(K48*G48/10000,0)</f>
        <v>5206.7694735400009</v>
      </c>
      <c r="G48" s="629">
        <v>295</v>
      </c>
      <c r="H48" s="620">
        <f t="shared" si="26"/>
        <v>4776.8527280183498</v>
      </c>
      <c r="I48" s="655">
        <f>IFERROR(F48/(1+J48)*J48,0)</f>
        <v>429.91674552165136</v>
      </c>
      <c r="J48" s="663">
        <v>0.09</v>
      </c>
      <c r="K48" s="656">
        <f>IFERROR(K47,0)</f>
        <v>176500.66012000002</v>
      </c>
      <c r="L48" s="655">
        <f t="shared" si="27"/>
        <v>295</v>
      </c>
      <c r="M48" s="657"/>
      <c r="N48" s="656">
        <f>IFERROR(K5,0)</f>
        <v>176500.66012000002</v>
      </c>
      <c r="O48" s="658">
        <f t="shared" si="28"/>
        <v>295</v>
      </c>
      <c r="P48" s="659"/>
      <c r="Q48" s="682">
        <v>250</v>
      </c>
      <c r="R48" s="675"/>
      <c r="S48" s="675"/>
      <c r="T48" s="675"/>
      <c r="U48" s="675"/>
      <c r="V48" s="675"/>
      <c r="W48" s="675"/>
      <c r="X48" s="675"/>
      <c r="Y48" s="675"/>
      <c r="Z48" s="675"/>
      <c r="AA48" s="675"/>
      <c r="AB48" s="675"/>
      <c r="AC48" s="675"/>
      <c r="AD48" s="675"/>
      <c r="AE48" s="675"/>
      <c r="AF48" s="675"/>
      <c r="AG48" s="397">
        <f>IFERROR(IF(COLUMN()&gt;=34,IF(COLUMN()&lt;44,$F48*95%/11,IF(COLUMN()=44,IF(44=48,$F48*(95%/11+5%),$F48*95%/11),IF(COLUMN()=48,$F48*5%,0))),0),0)</f>
        <v>0</v>
      </c>
      <c r="AH48" s="397">
        <f t="shared" ref="AH48:AV50" si="34">IFERROR(IF(COLUMN()&gt;=34,IF(COLUMN()&lt;44,$F48*95%/11,IF(COLUMN()=44,IF(44=48,$F48*(95%/11+5%),$F48*95%/11),IF(COLUMN()=48,$F48*5%,0))),0),0)</f>
        <v>449.67554544209094</v>
      </c>
      <c r="AI48" s="397">
        <f t="shared" si="34"/>
        <v>449.67554544209094</v>
      </c>
      <c r="AJ48" s="397">
        <f t="shared" si="34"/>
        <v>449.67554544209094</v>
      </c>
      <c r="AK48" s="397">
        <f t="shared" si="34"/>
        <v>449.67554544209094</v>
      </c>
      <c r="AL48" s="397">
        <f t="shared" si="34"/>
        <v>449.67554544209094</v>
      </c>
      <c r="AM48" s="397">
        <f t="shared" si="34"/>
        <v>449.67554544209094</v>
      </c>
      <c r="AN48" s="397">
        <f t="shared" si="34"/>
        <v>449.67554544209094</v>
      </c>
      <c r="AO48" s="397">
        <f t="shared" si="34"/>
        <v>449.67554544209094</v>
      </c>
      <c r="AP48" s="397">
        <f t="shared" si="34"/>
        <v>449.67554544209094</v>
      </c>
      <c r="AQ48" s="397">
        <f t="shared" si="34"/>
        <v>449.67554544209094</v>
      </c>
      <c r="AR48" s="397">
        <f t="shared" si="34"/>
        <v>449.67554544209094</v>
      </c>
      <c r="AS48" s="397">
        <f t="shared" si="34"/>
        <v>0</v>
      </c>
      <c r="AT48" s="397">
        <f t="shared" si="34"/>
        <v>0</v>
      </c>
      <c r="AU48" s="397">
        <f t="shared" si="34"/>
        <v>0</v>
      </c>
      <c r="AV48" s="397">
        <f t="shared" si="34"/>
        <v>260.33847367700008</v>
      </c>
    </row>
    <row r="49" spans="1:48" ht="18" customHeight="1">
      <c r="A49" s="610" t="s">
        <v>552</v>
      </c>
      <c r="B49" s="1171"/>
      <c r="C49" s="1182"/>
      <c r="D49" s="611">
        <v>2</v>
      </c>
      <c r="E49" s="612" t="s">
        <v>553</v>
      </c>
      <c r="F49" s="613">
        <f>IFERROR(K49*G49/10000,0)</f>
        <v>6177.5231042000005</v>
      </c>
      <c r="G49" s="629">
        <v>350</v>
      </c>
      <c r="H49" s="615">
        <f t="shared" si="26"/>
        <v>5667.452389174312</v>
      </c>
      <c r="I49" s="649">
        <f>IFERROR(F49/(1+J49)*J49,0)</f>
        <v>510.07071502568806</v>
      </c>
      <c r="J49" s="663">
        <v>0.09</v>
      </c>
      <c r="K49" s="651">
        <f>IFERROR(K48,0)</f>
        <v>176500.66012000002</v>
      </c>
      <c r="L49" s="649">
        <f t="shared" si="27"/>
        <v>349.99999999999994</v>
      </c>
      <c r="M49" s="652"/>
      <c r="N49" s="651">
        <f>IFERROR(K5,0)</f>
        <v>176500.66012000002</v>
      </c>
      <c r="O49" s="653">
        <f t="shared" si="28"/>
        <v>349.99999999999994</v>
      </c>
      <c r="P49" s="654"/>
      <c r="Q49" s="683">
        <v>100</v>
      </c>
      <c r="R49" s="673"/>
      <c r="S49" s="673"/>
      <c r="T49" s="673"/>
      <c r="U49" s="673"/>
      <c r="V49" s="673"/>
      <c r="W49" s="673"/>
      <c r="X49" s="673"/>
      <c r="Y49" s="673"/>
      <c r="Z49" s="673"/>
      <c r="AA49" s="673"/>
      <c r="AB49" s="673"/>
      <c r="AC49" s="673"/>
      <c r="AD49" s="673"/>
      <c r="AE49" s="673"/>
      <c r="AF49" s="673"/>
      <c r="AG49" s="400">
        <f>IFERROR(IF(COLUMN()&gt;=34,IF(COLUMN()&lt;44,$F49*95%/11,IF(COLUMN()=44,IF(44=48,$F49*(95%/11+5%),$F49*95%/11),IF(COLUMN()=48,$F49*5%,0))),0),0)</f>
        <v>0</v>
      </c>
      <c r="AH49" s="400">
        <f t="shared" si="34"/>
        <v>533.51335899909088</v>
      </c>
      <c r="AI49" s="400">
        <f t="shared" si="34"/>
        <v>533.51335899909088</v>
      </c>
      <c r="AJ49" s="400">
        <f t="shared" si="34"/>
        <v>533.51335899909088</v>
      </c>
      <c r="AK49" s="400">
        <f t="shared" si="34"/>
        <v>533.51335899909088</v>
      </c>
      <c r="AL49" s="400">
        <f t="shared" si="34"/>
        <v>533.51335899909088</v>
      </c>
      <c r="AM49" s="400">
        <f t="shared" si="34"/>
        <v>533.51335899909088</v>
      </c>
      <c r="AN49" s="400">
        <f t="shared" si="34"/>
        <v>533.51335899909088</v>
      </c>
      <c r="AO49" s="400">
        <f t="shared" si="34"/>
        <v>533.51335899909088</v>
      </c>
      <c r="AP49" s="400">
        <f t="shared" si="34"/>
        <v>533.51335899909088</v>
      </c>
      <c r="AQ49" s="400">
        <f t="shared" si="34"/>
        <v>533.51335899909088</v>
      </c>
      <c r="AR49" s="400">
        <f t="shared" si="34"/>
        <v>533.51335899909088</v>
      </c>
      <c r="AS49" s="400">
        <f t="shared" si="34"/>
        <v>0</v>
      </c>
      <c r="AT49" s="400">
        <f t="shared" si="34"/>
        <v>0</v>
      </c>
      <c r="AU49" s="400">
        <f t="shared" si="34"/>
        <v>0</v>
      </c>
      <c r="AV49" s="400">
        <f t="shared" si="34"/>
        <v>308.87615521000004</v>
      </c>
    </row>
    <row r="50" spans="1:48" ht="18" customHeight="1">
      <c r="A50" s="610" t="s">
        <v>554</v>
      </c>
      <c r="B50" s="1171"/>
      <c r="C50" s="1182"/>
      <c r="D50" s="616">
        <v>3</v>
      </c>
      <c r="E50" s="617" t="s">
        <v>555</v>
      </c>
      <c r="F50" s="632">
        <f>IFERROR(K50*G50/10000,0)</f>
        <v>2275.2591656999998</v>
      </c>
      <c r="G50" s="630">
        <v>613</v>
      </c>
      <c r="H50" s="620">
        <f t="shared" si="26"/>
        <v>2087.3937299999998</v>
      </c>
      <c r="I50" s="655">
        <f>IFERROR(F50/(1+J50)*J50,0)</f>
        <v>187.86543569999998</v>
      </c>
      <c r="J50" s="663">
        <v>0.09</v>
      </c>
      <c r="K50" s="656">
        <f>规划指标!D4*10000-12060</f>
        <v>37116.788999999997</v>
      </c>
      <c r="L50" s="655">
        <f t="shared" si="27"/>
        <v>613</v>
      </c>
      <c r="M50" s="657"/>
      <c r="N50" s="656"/>
      <c r="O50" s="658" t="str">
        <f t="shared" si="28"/>
        <v/>
      </c>
      <c r="P50" s="659"/>
      <c r="Q50" s="682">
        <v>450</v>
      </c>
      <c r="R50" s="675"/>
      <c r="S50" s="675"/>
      <c r="T50" s="675"/>
      <c r="U50" s="675"/>
      <c r="V50" s="675"/>
      <c r="W50" s="675"/>
      <c r="X50" s="675"/>
      <c r="Y50" s="675"/>
      <c r="Z50" s="675"/>
      <c r="AA50" s="675"/>
      <c r="AB50" s="675"/>
      <c r="AC50" s="675"/>
      <c r="AD50" s="675"/>
      <c r="AE50" s="675"/>
      <c r="AF50" s="675"/>
      <c r="AG50" s="397">
        <f>IFERROR(IF(COLUMN()&gt;=34,IF(COLUMN()&lt;44,$F50*95%/11,IF(COLUMN()=44,IF(44=48,$F50*(95%/11+5%),$F50*95%/11),IF(COLUMN()=48,$F50*5%,0))),0),0)</f>
        <v>0</v>
      </c>
      <c r="AH50" s="397">
        <f t="shared" si="34"/>
        <v>196.49965521954545</v>
      </c>
      <c r="AI50" s="397">
        <f t="shared" si="34"/>
        <v>196.49965521954545</v>
      </c>
      <c r="AJ50" s="397">
        <f t="shared" si="34"/>
        <v>196.49965521954545</v>
      </c>
      <c r="AK50" s="397">
        <f t="shared" si="34"/>
        <v>196.49965521954545</v>
      </c>
      <c r="AL50" s="397">
        <f t="shared" si="34"/>
        <v>196.49965521954545</v>
      </c>
      <c r="AM50" s="397">
        <f t="shared" si="34"/>
        <v>196.49965521954545</v>
      </c>
      <c r="AN50" s="397">
        <f t="shared" si="34"/>
        <v>196.49965521954545</v>
      </c>
      <c r="AO50" s="397">
        <f t="shared" si="34"/>
        <v>196.49965521954545</v>
      </c>
      <c r="AP50" s="397">
        <f t="shared" si="34"/>
        <v>196.49965521954545</v>
      </c>
      <c r="AQ50" s="397">
        <f t="shared" si="34"/>
        <v>196.49965521954545</v>
      </c>
      <c r="AR50" s="397">
        <f t="shared" si="34"/>
        <v>196.49965521954545</v>
      </c>
      <c r="AS50" s="397">
        <f t="shared" si="34"/>
        <v>0</v>
      </c>
      <c r="AT50" s="397">
        <f t="shared" si="34"/>
        <v>0</v>
      </c>
      <c r="AU50" s="397">
        <f t="shared" si="34"/>
        <v>0</v>
      </c>
      <c r="AV50" s="397">
        <f t="shared" si="34"/>
        <v>113.762958285</v>
      </c>
    </row>
    <row r="51" spans="1:48" ht="18" customHeight="1">
      <c r="A51" s="610" t="s">
        <v>556</v>
      </c>
      <c r="B51" s="1171"/>
      <c r="C51" s="1182"/>
      <c r="D51" s="611">
        <v>4</v>
      </c>
      <c r="E51" s="612" t="s">
        <v>557</v>
      </c>
      <c r="F51" s="613">
        <f>IFERROR(SUM(F48:F50)*G51,0)</f>
        <v>0</v>
      </c>
      <c r="G51" s="633">
        <v>0</v>
      </c>
      <c r="H51" s="615">
        <f t="shared" si="26"/>
        <v>0</v>
      </c>
      <c r="I51" s="649">
        <f>IFERROR(F51/(1+J51)*J51,0)</f>
        <v>0</v>
      </c>
      <c r="J51" s="663">
        <v>0.06</v>
      </c>
      <c r="K51" s="651">
        <f>IFERROR(K47,0)</f>
        <v>176500.66012000002</v>
      </c>
      <c r="L51" s="649">
        <f t="shared" si="27"/>
        <v>0</v>
      </c>
      <c r="M51" s="652"/>
      <c r="N51" s="651">
        <f>IFERROR(K5,0)</f>
        <v>176500.66012000002</v>
      </c>
      <c r="O51" s="653">
        <f t="shared" si="28"/>
        <v>0</v>
      </c>
      <c r="P51" s="654"/>
      <c r="Q51" s="683"/>
      <c r="R51" s="673"/>
      <c r="S51" s="673"/>
      <c r="T51" s="673"/>
      <c r="U51" s="673"/>
      <c r="V51" s="673"/>
      <c r="W51" s="673"/>
      <c r="X51" s="673"/>
      <c r="Y51" s="673"/>
      <c r="Z51" s="673"/>
      <c r="AA51" s="673"/>
      <c r="AB51" s="673"/>
      <c r="AC51" s="673"/>
      <c r="AD51" s="673"/>
      <c r="AE51" s="673"/>
      <c r="AF51" s="673"/>
      <c r="AG51" s="400">
        <f>IFERROR(SUM(AG48:AG50)*$G51,0)</f>
        <v>0</v>
      </c>
      <c r="AH51" s="400">
        <f t="shared" ref="AH51:AV51" si="35">IFERROR(SUM(AH48:AH50)*$G51,0)</f>
        <v>0</v>
      </c>
      <c r="AI51" s="400">
        <f t="shared" si="35"/>
        <v>0</v>
      </c>
      <c r="AJ51" s="400">
        <f t="shared" si="35"/>
        <v>0</v>
      </c>
      <c r="AK51" s="400">
        <f t="shared" si="35"/>
        <v>0</v>
      </c>
      <c r="AL51" s="400">
        <f t="shared" si="35"/>
        <v>0</v>
      </c>
      <c r="AM51" s="400">
        <f t="shared" si="35"/>
        <v>0</v>
      </c>
      <c r="AN51" s="400">
        <f t="shared" si="35"/>
        <v>0</v>
      </c>
      <c r="AO51" s="400">
        <f t="shared" si="35"/>
        <v>0</v>
      </c>
      <c r="AP51" s="400">
        <f t="shared" si="35"/>
        <v>0</v>
      </c>
      <c r="AQ51" s="400">
        <f t="shared" si="35"/>
        <v>0</v>
      </c>
      <c r="AR51" s="400">
        <f t="shared" si="35"/>
        <v>0</v>
      </c>
      <c r="AS51" s="400">
        <f t="shared" si="35"/>
        <v>0</v>
      </c>
      <c r="AT51" s="400">
        <f t="shared" si="35"/>
        <v>0</v>
      </c>
      <c r="AU51" s="400">
        <f t="shared" si="35"/>
        <v>0</v>
      </c>
      <c r="AV51" s="400">
        <f t="shared" si="35"/>
        <v>0</v>
      </c>
    </row>
    <row r="52" spans="1:48" ht="18" customHeight="1">
      <c r="A52" s="605" t="s">
        <v>558</v>
      </c>
      <c r="B52" s="1171"/>
      <c r="C52" s="1182"/>
      <c r="D52" s="606" t="s">
        <v>559</v>
      </c>
      <c r="E52" s="607" t="s">
        <v>560</v>
      </c>
      <c r="F52" s="627">
        <f>IFERROR(F53+F64,0)</f>
        <v>6033.9746202000006</v>
      </c>
      <c r="G52" s="606"/>
      <c r="H52" s="609">
        <f t="shared" si="26"/>
        <v>5535.7565322935789</v>
      </c>
      <c r="I52" s="645">
        <f>IFERROR(I53+I64,0)</f>
        <v>498.21808790642194</v>
      </c>
      <c r="J52" s="440"/>
      <c r="K52" s="644">
        <f>总建筑面积</f>
        <v>176500.66012000002</v>
      </c>
      <c r="L52" s="645">
        <f t="shared" si="27"/>
        <v>341.86697183441674</v>
      </c>
      <c r="M52" s="646">
        <f>IFERROR(F52/总投资,0)</f>
        <v>1.3062515200352256E-2</v>
      </c>
      <c r="N52" s="644">
        <f>IFERROR(K5,0)</f>
        <v>176500.66012000002</v>
      </c>
      <c r="O52" s="647">
        <f t="shared" si="28"/>
        <v>341.86697183441674</v>
      </c>
      <c r="P52" s="648">
        <f>IFERROR(F52/总销售收入,0)</f>
        <v>1.2351837398811488E-2</v>
      </c>
      <c r="Q52" s="670"/>
      <c r="R52" s="671"/>
      <c r="S52" s="671"/>
      <c r="T52" s="671"/>
      <c r="U52" s="671"/>
      <c r="V52" s="671"/>
      <c r="W52" s="671"/>
      <c r="X52" s="671"/>
      <c r="Y52" s="671"/>
      <c r="Z52" s="671"/>
      <c r="AA52" s="671"/>
      <c r="AB52" s="671"/>
      <c r="AC52" s="671"/>
      <c r="AD52" s="671"/>
      <c r="AE52" s="671"/>
      <c r="AF52" s="671"/>
      <c r="AG52" s="685">
        <f>IFERROR(AG53+AG64,0)</f>
        <v>0</v>
      </c>
      <c r="AH52" s="685">
        <f t="shared" ref="AH52:AV52" si="36">IFERROR(AH53+AH64,0)</f>
        <v>521.1159899263638</v>
      </c>
      <c r="AI52" s="685">
        <f t="shared" si="36"/>
        <v>521.1159899263638</v>
      </c>
      <c r="AJ52" s="685">
        <f t="shared" si="36"/>
        <v>521.1159899263638</v>
      </c>
      <c r="AK52" s="685">
        <f t="shared" si="36"/>
        <v>521.1159899263638</v>
      </c>
      <c r="AL52" s="685">
        <f t="shared" si="36"/>
        <v>521.1159899263638</v>
      </c>
      <c r="AM52" s="685">
        <f t="shared" si="36"/>
        <v>521.1159899263638</v>
      </c>
      <c r="AN52" s="685">
        <f t="shared" si="36"/>
        <v>521.1159899263638</v>
      </c>
      <c r="AO52" s="685">
        <f t="shared" si="36"/>
        <v>521.1159899263638</v>
      </c>
      <c r="AP52" s="685">
        <f t="shared" si="36"/>
        <v>521.1159899263638</v>
      </c>
      <c r="AQ52" s="685">
        <f t="shared" si="36"/>
        <v>521.1159899263638</v>
      </c>
      <c r="AR52" s="685">
        <f t="shared" si="36"/>
        <v>521.1159899263638</v>
      </c>
      <c r="AS52" s="685">
        <f t="shared" si="36"/>
        <v>0</v>
      </c>
      <c r="AT52" s="685">
        <f t="shared" si="36"/>
        <v>0</v>
      </c>
      <c r="AU52" s="685">
        <f t="shared" si="36"/>
        <v>0</v>
      </c>
      <c r="AV52" s="685">
        <f t="shared" si="36"/>
        <v>301.69873101000007</v>
      </c>
    </row>
    <row r="53" spans="1:48" ht="18" customHeight="1">
      <c r="A53" s="610" t="s">
        <v>561</v>
      </c>
      <c r="B53" s="1171"/>
      <c r="C53" s="1182"/>
      <c r="D53" s="611">
        <v>1</v>
      </c>
      <c r="E53" s="612" t="s">
        <v>562</v>
      </c>
      <c r="F53" s="613">
        <f>IFERROR(F54+F56+SUM(F58:F63),0)</f>
        <v>6033.9746202000006</v>
      </c>
      <c r="G53" s="619"/>
      <c r="H53" s="615">
        <f t="shared" si="26"/>
        <v>5535.7565322935789</v>
      </c>
      <c r="I53" s="400">
        <f>IFERROR(I54+I56+SUM(I58:I63),0)</f>
        <v>498.21808790642194</v>
      </c>
      <c r="J53" s="660"/>
      <c r="K53" s="664">
        <f>IFERROR(规划指标!D33,0)</f>
        <v>2575.5</v>
      </c>
      <c r="L53" s="649">
        <f t="shared" si="27"/>
        <v>23428.361949912643</v>
      </c>
      <c r="M53" s="652"/>
      <c r="N53" s="664">
        <f>IFERROR(规划指标!E33,0)</f>
        <v>0</v>
      </c>
      <c r="O53" s="653" t="str">
        <f t="shared" si="28"/>
        <v/>
      </c>
      <c r="P53" s="654"/>
      <c r="Q53" s="672"/>
      <c r="R53" s="673"/>
      <c r="S53" s="673"/>
      <c r="T53" s="673"/>
      <c r="U53" s="673"/>
      <c r="V53" s="673"/>
      <c r="W53" s="673"/>
      <c r="X53" s="673"/>
      <c r="Y53" s="673"/>
      <c r="Z53" s="673"/>
      <c r="AA53" s="673"/>
      <c r="AB53" s="673"/>
      <c r="AC53" s="673"/>
      <c r="AD53" s="673"/>
      <c r="AE53" s="673"/>
      <c r="AF53" s="673"/>
      <c r="AG53" s="400">
        <f>IFERROR(AG54+AG56+SUM(AG58:AG63),0)</f>
        <v>0</v>
      </c>
      <c r="AH53" s="400">
        <f t="shared" ref="AH53:AV53" si="37">IFERROR(AH54+AH56+SUM(AH58:AH63),0)</f>
        <v>521.1159899263638</v>
      </c>
      <c r="AI53" s="400">
        <f t="shared" si="37"/>
        <v>521.1159899263638</v>
      </c>
      <c r="AJ53" s="400">
        <f t="shared" si="37"/>
        <v>521.1159899263638</v>
      </c>
      <c r="AK53" s="400">
        <f t="shared" si="37"/>
        <v>521.1159899263638</v>
      </c>
      <c r="AL53" s="400">
        <f t="shared" si="37"/>
        <v>521.1159899263638</v>
      </c>
      <c r="AM53" s="400">
        <f t="shared" si="37"/>
        <v>521.1159899263638</v>
      </c>
      <c r="AN53" s="400">
        <f t="shared" si="37"/>
        <v>521.1159899263638</v>
      </c>
      <c r="AO53" s="400">
        <f t="shared" si="37"/>
        <v>521.1159899263638</v>
      </c>
      <c r="AP53" s="400">
        <f t="shared" si="37"/>
        <v>521.1159899263638</v>
      </c>
      <c r="AQ53" s="400">
        <f t="shared" si="37"/>
        <v>521.1159899263638</v>
      </c>
      <c r="AR53" s="400">
        <f t="shared" si="37"/>
        <v>521.1159899263638</v>
      </c>
      <c r="AS53" s="400">
        <f t="shared" si="37"/>
        <v>0</v>
      </c>
      <c r="AT53" s="400">
        <f t="shared" si="37"/>
        <v>0</v>
      </c>
      <c r="AU53" s="400">
        <f t="shared" si="37"/>
        <v>0</v>
      </c>
      <c r="AV53" s="400">
        <f t="shared" si="37"/>
        <v>301.69873101000007</v>
      </c>
    </row>
    <row r="54" spans="1:48" ht="18" customHeight="1">
      <c r="A54" s="610" t="s">
        <v>563</v>
      </c>
      <c r="B54" s="1171"/>
      <c r="C54" s="1182"/>
      <c r="D54" s="616">
        <v>1.1000000000000001</v>
      </c>
      <c r="E54" s="617" t="s">
        <v>564</v>
      </c>
      <c r="F54" s="624">
        <f>IFERROR(K54*G54/10000,0)</f>
        <v>1086.9746437946426</v>
      </c>
      <c r="G54" s="614">
        <v>4499.9985253348896</v>
      </c>
      <c r="H54" s="620">
        <f t="shared" si="26"/>
        <v>997.224443848296</v>
      </c>
      <c r="I54" s="655">
        <f>IFERROR((F54-F55)/(1+J54)*J54+I55,0)</f>
        <v>89.750199946346626</v>
      </c>
      <c r="J54" s="650">
        <v>0.09</v>
      </c>
      <c r="K54" s="656">
        <f>IFERROR(规划指标!D34,0)</f>
        <v>2415.5</v>
      </c>
      <c r="L54" s="655">
        <f t="shared" si="27"/>
        <v>4499.9985253348896</v>
      </c>
      <c r="M54" s="657"/>
      <c r="N54" s="656">
        <f>IFERROR(规划指标!E34,0)</f>
        <v>0</v>
      </c>
      <c r="O54" s="658" t="str">
        <f t="shared" si="28"/>
        <v/>
      </c>
      <c r="P54" s="659"/>
      <c r="Q54" s="674"/>
      <c r="R54" s="675"/>
      <c r="S54" s="675"/>
      <c r="T54" s="675"/>
      <c r="U54" s="675"/>
      <c r="V54" s="675"/>
      <c r="W54" s="675"/>
      <c r="X54" s="675"/>
      <c r="Y54" s="675"/>
      <c r="Z54" s="675"/>
      <c r="AA54" s="675"/>
      <c r="AB54" s="675"/>
      <c r="AC54" s="675"/>
      <c r="AD54" s="675"/>
      <c r="AE54" s="675"/>
      <c r="AF54" s="675"/>
      <c r="AG54" s="397">
        <f t="shared" ref="AG54:AG63" si="38">IFERROR(IF(COLUMN()&gt;=34,IF(COLUMN()&lt;44,$F54*95%/11,IF(COLUMN()=44,IF(44=48,$F54*(95%/11+5%),$F54*95%/11),IF(COLUMN()=48,$F54*5%,0))),0),0)</f>
        <v>0</v>
      </c>
      <c r="AH54" s="397">
        <f t="shared" ref="AH54:AV63" si="39">IFERROR(IF(COLUMN()&gt;=34,IF(COLUMN()&lt;44,$F54*95%/11,IF(COLUMN()=44,IF(44=48,$F54*(95%/11+5%),$F54*95%/11),IF(COLUMN()=48,$F54*5%,0))),0),0)</f>
        <v>93.875082873173682</v>
      </c>
      <c r="AI54" s="397">
        <f t="shared" si="39"/>
        <v>93.875082873173682</v>
      </c>
      <c r="AJ54" s="397">
        <f t="shared" si="39"/>
        <v>93.875082873173682</v>
      </c>
      <c r="AK54" s="397">
        <f t="shared" si="39"/>
        <v>93.875082873173682</v>
      </c>
      <c r="AL54" s="397">
        <f t="shared" si="39"/>
        <v>93.875082873173682</v>
      </c>
      <c r="AM54" s="397">
        <f t="shared" si="39"/>
        <v>93.875082873173682</v>
      </c>
      <c r="AN54" s="397">
        <f t="shared" si="39"/>
        <v>93.875082873173682</v>
      </c>
      <c r="AO54" s="397">
        <f t="shared" si="39"/>
        <v>93.875082873173682</v>
      </c>
      <c r="AP54" s="397">
        <f t="shared" si="39"/>
        <v>93.875082873173682</v>
      </c>
      <c r="AQ54" s="397">
        <f t="shared" si="39"/>
        <v>93.875082873173682</v>
      </c>
      <c r="AR54" s="397">
        <f t="shared" si="39"/>
        <v>93.875082873173682</v>
      </c>
      <c r="AS54" s="397">
        <f t="shared" si="39"/>
        <v>0</v>
      </c>
      <c r="AT54" s="397">
        <f t="shared" si="39"/>
        <v>0</v>
      </c>
      <c r="AU54" s="397">
        <f t="shared" si="39"/>
        <v>0</v>
      </c>
      <c r="AV54" s="397">
        <f t="shared" si="39"/>
        <v>54.348732189732132</v>
      </c>
    </row>
    <row r="55" spans="1:48" ht="18" customHeight="1">
      <c r="A55" s="610" t="s">
        <v>565</v>
      </c>
      <c r="B55" s="1171"/>
      <c r="C55" s="1182"/>
      <c r="D55" s="611"/>
      <c r="E55" s="612" t="s">
        <v>524</v>
      </c>
      <c r="F55" s="634"/>
      <c r="G55" s="614"/>
      <c r="H55" s="615">
        <f t="shared" si="26"/>
        <v>0</v>
      </c>
      <c r="I55" s="649">
        <f>IFERROR(F55/(1+J55)*J55,0)</f>
        <v>0</v>
      </c>
      <c r="J55" s="650">
        <v>0.13</v>
      </c>
      <c r="K55" s="651"/>
      <c r="L55" s="649" t="str">
        <f t="shared" si="27"/>
        <v/>
      </c>
      <c r="M55" s="652"/>
      <c r="N55" s="651">
        <f>IFERROR(N54,0)</f>
        <v>0</v>
      </c>
      <c r="O55" s="653" t="str">
        <f t="shared" si="28"/>
        <v/>
      </c>
      <c r="P55" s="654"/>
      <c r="Q55" s="672"/>
      <c r="R55" s="673"/>
      <c r="S55" s="673"/>
      <c r="T55" s="673"/>
      <c r="U55" s="673"/>
      <c r="V55" s="673"/>
      <c r="W55" s="673"/>
      <c r="X55" s="673"/>
      <c r="Y55" s="673"/>
      <c r="Z55" s="673"/>
      <c r="AA55" s="673"/>
      <c r="AB55" s="673"/>
      <c r="AC55" s="673"/>
      <c r="AD55" s="673"/>
      <c r="AE55" s="673"/>
      <c r="AF55" s="673"/>
      <c r="AG55" s="400">
        <f t="shared" si="38"/>
        <v>0</v>
      </c>
      <c r="AH55" s="400">
        <f t="shared" si="39"/>
        <v>0</v>
      </c>
      <c r="AI55" s="400">
        <f t="shared" si="39"/>
        <v>0</v>
      </c>
      <c r="AJ55" s="400">
        <f t="shared" si="39"/>
        <v>0</v>
      </c>
      <c r="AK55" s="400">
        <f t="shared" si="39"/>
        <v>0</v>
      </c>
      <c r="AL55" s="400">
        <f t="shared" si="39"/>
        <v>0</v>
      </c>
      <c r="AM55" s="400">
        <f t="shared" si="39"/>
        <v>0</v>
      </c>
      <c r="AN55" s="400">
        <f t="shared" si="39"/>
        <v>0</v>
      </c>
      <c r="AO55" s="400">
        <f t="shared" si="39"/>
        <v>0</v>
      </c>
      <c r="AP55" s="400">
        <f t="shared" si="39"/>
        <v>0</v>
      </c>
      <c r="AQ55" s="400">
        <f t="shared" si="39"/>
        <v>0</v>
      </c>
      <c r="AR55" s="400">
        <f t="shared" si="39"/>
        <v>0</v>
      </c>
      <c r="AS55" s="400">
        <f t="shared" si="39"/>
        <v>0</v>
      </c>
      <c r="AT55" s="400">
        <f t="shared" si="39"/>
        <v>0</v>
      </c>
      <c r="AU55" s="400">
        <f t="shared" si="39"/>
        <v>0</v>
      </c>
      <c r="AV55" s="400">
        <f t="shared" si="39"/>
        <v>0</v>
      </c>
    </row>
    <row r="56" spans="1:48" ht="18" customHeight="1">
      <c r="A56" s="610" t="s">
        <v>566</v>
      </c>
      <c r="B56" s="1171"/>
      <c r="C56" s="1182"/>
      <c r="D56" s="616">
        <v>1.2</v>
      </c>
      <c r="E56" s="617" t="s">
        <v>567</v>
      </c>
      <c r="F56" s="624">
        <f>IFERROR(K56*G56/10000,0)</f>
        <v>71.99997640535824</v>
      </c>
      <c r="G56" s="614">
        <f>G54</f>
        <v>4499.9985253348896</v>
      </c>
      <c r="H56" s="620">
        <f t="shared" si="26"/>
        <v>66.055024225099302</v>
      </c>
      <c r="I56" s="655">
        <f>IFERROR((F56-F57)/(1+J56)*J56+I57,0)</f>
        <v>5.9449521802589373</v>
      </c>
      <c r="J56" s="650">
        <v>0.09</v>
      </c>
      <c r="K56" s="656">
        <f>IFERROR(规划指标!D35,0)</f>
        <v>160</v>
      </c>
      <c r="L56" s="655">
        <f t="shared" si="27"/>
        <v>4499.9985253348905</v>
      </c>
      <c r="M56" s="657"/>
      <c r="N56" s="656">
        <f>IFERROR(规划指标!E35,0)</f>
        <v>0</v>
      </c>
      <c r="O56" s="658" t="str">
        <f t="shared" si="28"/>
        <v/>
      </c>
      <c r="P56" s="659"/>
      <c r="Q56" s="674"/>
      <c r="R56" s="675"/>
      <c r="S56" s="675"/>
      <c r="T56" s="675"/>
      <c r="U56" s="675"/>
      <c r="V56" s="675"/>
      <c r="W56" s="675"/>
      <c r="X56" s="675"/>
      <c r="Y56" s="675"/>
      <c r="Z56" s="675"/>
      <c r="AA56" s="675"/>
      <c r="AB56" s="675"/>
      <c r="AC56" s="675"/>
      <c r="AD56" s="675"/>
      <c r="AE56" s="675"/>
      <c r="AF56" s="675"/>
      <c r="AG56" s="397">
        <f t="shared" si="38"/>
        <v>0</v>
      </c>
      <c r="AH56" s="397">
        <f t="shared" si="39"/>
        <v>6.2181797804627568</v>
      </c>
      <c r="AI56" s="397">
        <f t="shared" si="39"/>
        <v>6.2181797804627568</v>
      </c>
      <c r="AJ56" s="397">
        <f t="shared" si="39"/>
        <v>6.2181797804627568</v>
      </c>
      <c r="AK56" s="397">
        <f t="shared" si="39"/>
        <v>6.2181797804627568</v>
      </c>
      <c r="AL56" s="397">
        <f t="shared" si="39"/>
        <v>6.2181797804627568</v>
      </c>
      <c r="AM56" s="397">
        <f t="shared" si="39"/>
        <v>6.2181797804627568</v>
      </c>
      <c r="AN56" s="397">
        <f t="shared" si="39"/>
        <v>6.2181797804627568</v>
      </c>
      <c r="AO56" s="397">
        <f t="shared" si="39"/>
        <v>6.2181797804627568</v>
      </c>
      <c r="AP56" s="397">
        <f t="shared" si="39"/>
        <v>6.2181797804627568</v>
      </c>
      <c r="AQ56" s="397">
        <f t="shared" si="39"/>
        <v>6.2181797804627568</v>
      </c>
      <c r="AR56" s="397">
        <f t="shared" si="39"/>
        <v>6.2181797804627568</v>
      </c>
      <c r="AS56" s="397">
        <f t="shared" si="39"/>
        <v>0</v>
      </c>
      <c r="AT56" s="397">
        <f t="shared" si="39"/>
        <v>0</v>
      </c>
      <c r="AU56" s="397">
        <f t="shared" si="39"/>
        <v>0</v>
      </c>
      <c r="AV56" s="397">
        <f t="shared" si="39"/>
        <v>3.5999988202679121</v>
      </c>
    </row>
    <row r="57" spans="1:48" ht="18" customHeight="1">
      <c r="A57" s="610" t="s">
        <v>565</v>
      </c>
      <c r="B57" s="1171"/>
      <c r="C57" s="1182"/>
      <c r="D57" s="611"/>
      <c r="E57" s="612" t="s">
        <v>524</v>
      </c>
      <c r="F57" s="634"/>
      <c r="G57" s="619"/>
      <c r="H57" s="615">
        <f t="shared" si="26"/>
        <v>0</v>
      </c>
      <c r="I57" s="649">
        <f t="shared" ref="I57:I67" si="40">IFERROR(F57/(1+J57)*J57,0)</f>
        <v>0</v>
      </c>
      <c r="J57" s="650">
        <v>0.13</v>
      </c>
      <c r="K57" s="651"/>
      <c r="L57" s="649" t="str">
        <f t="shared" si="27"/>
        <v/>
      </c>
      <c r="M57" s="652"/>
      <c r="N57" s="651">
        <f>IFERROR(N56,0)</f>
        <v>0</v>
      </c>
      <c r="O57" s="653" t="str">
        <f t="shared" si="28"/>
        <v/>
      </c>
      <c r="P57" s="654"/>
      <c r="Q57" s="672"/>
      <c r="R57" s="673"/>
      <c r="S57" s="673"/>
      <c r="T57" s="673"/>
      <c r="U57" s="673"/>
      <c r="V57" s="673"/>
      <c r="W57" s="673"/>
      <c r="X57" s="673"/>
      <c r="Y57" s="673"/>
      <c r="Z57" s="673"/>
      <c r="AA57" s="673"/>
      <c r="AB57" s="673"/>
      <c r="AC57" s="673"/>
      <c r="AD57" s="673"/>
      <c r="AE57" s="673"/>
      <c r="AF57" s="673"/>
      <c r="AG57" s="400">
        <f t="shared" si="38"/>
        <v>0</v>
      </c>
      <c r="AH57" s="400">
        <f t="shared" si="39"/>
        <v>0</v>
      </c>
      <c r="AI57" s="400">
        <f t="shared" si="39"/>
        <v>0</v>
      </c>
      <c r="AJ57" s="400">
        <f t="shared" si="39"/>
        <v>0</v>
      </c>
      <c r="AK57" s="400">
        <f t="shared" si="39"/>
        <v>0</v>
      </c>
      <c r="AL57" s="400">
        <f t="shared" si="39"/>
        <v>0</v>
      </c>
      <c r="AM57" s="400">
        <f t="shared" si="39"/>
        <v>0</v>
      </c>
      <c r="AN57" s="400">
        <f t="shared" si="39"/>
        <v>0</v>
      </c>
      <c r="AO57" s="400">
        <f t="shared" si="39"/>
        <v>0</v>
      </c>
      <c r="AP57" s="400">
        <f t="shared" si="39"/>
        <v>0</v>
      </c>
      <c r="AQ57" s="400">
        <f t="shared" si="39"/>
        <v>0</v>
      </c>
      <c r="AR57" s="400">
        <f t="shared" si="39"/>
        <v>0</v>
      </c>
      <c r="AS57" s="400">
        <f t="shared" si="39"/>
        <v>0</v>
      </c>
      <c r="AT57" s="400">
        <f t="shared" si="39"/>
        <v>0</v>
      </c>
      <c r="AU57" s="400">
        <f t="shared" si="39"/>
        <v>0</v>
      </c>
      <c r="AV57" s="400">
        <f t="shared" si="39"/>
        <v>0</v>
      </c>
    </row>
    <row r="58" spans="1:48" ht="18" customHeight="1">
      <c r="A58" s="610" t="s">
        <v>568</v>
      </c>
      <c r="B58" s="1171"/>
      <c r="C58" s="1182"/>
      <c r="D58" s="616">
        <v>1.3</v>
      </c>
      <c r="E58" s="617" t="s">
        <v>569</v>
      </c>
      <c r="F58" s="634">
        <f>200+500+350*3</f>
        <v>1750</v>
      </c>
      <c r="G58" s="619">
        <v>350</v>
      </c>
      <c r="H58" s="620">
        <f t="shared" si="26"/>
        <v>1605.5045871559632</v>
      </c>
      <c r="I58" s="655">
        <f t="shared" si="40"/>
        <v>144.49541284403668</v>
      </c>
      <c r="J58" s="650">
        <v>0.09</v>
      </c>
      <c r="K58" s="656"/>
      <c r="L58" s="655" t="str">
        <f t="shared" si="27"/>
        <v/>
      </c>
      <c r="M58" s="657"/>
      <c r="N58" s="656"/>
      <c r="O58" s="658" t="str">
        <f t="shared" si="28"/>
        <v/>
      </c>
      <c r="P58" s="659"/>
      <c r="Q58" s="674"/>
      <c r="R58" s="675"/>
      <c r="S58" s="675"/>
      <c r="T58" s="675"/>
      <c r="U58" s="675"/>
      <c r="V58" s="675"/>
      <c r="W58" s="675"/>
      <c r="X58" s="675"/>
      <c r="Y58" s="675"/>
      <c r="Z58" s="675"/>
      <c r="AA58" s="675"/>
      <c r="AB58" s="675"/>
      <c r="AC58" s="675"/>
      <c r="AD58" s="675"/>
      <c r="AE58" s="675"/>
      <c r="AF58" s="675"/>
      <c r="AG58" s="397">
        <f t="shared" si="38"/>
        <v>0</v>
      </c>
      <c r="AH58" s="397">
        <f t="shared" si="39"/>
        <v>151.13636363636363</v>
      </c>
      <c r="AI58" s="397">
        <f t="shared" si="39"/>
        <v>151.13636363636363</v>
      </c>
      <c r="AJ58" s="397">
        <f t="shared" si="39"/>
        <v>151.13636363636363</v>
      </c>
      <c r="AK58" s="397">
        <f t="shared" si="39"/>
        <v>151.13636363636363</v>
      </c>
      <c r="AL58" s="397">
        <f t="shared" si="39"/>
        <v>151.13636363636363</v>
      </c>
      <c r="AM58" s="397">
        <f t="shared" si="39"/>
        <v>151.13636363636363</v>
      </c>
      <c r="AN58" s="397">
        <f t="shared" si="39"/>
        <v>151.13636363636363</v>
      </c>
      <c r="AO58" s="397">
        <f t="shared" si="39"/>
        <v>151.13636363636363</v>
      </c>
      <c r="AP58" s="397">
        <f t="shared" si="39"/>
        <v>151.13636363636363</v>
      </c>
      <c r="AQ58" s="397">
        <f t="shared" si="39"/>
        <v>151.13636363636363</v>
      </c>
      <c r="AR58" s="397">
        <f t="shared" si="39"/>
        <v>151.13636363636363</v>
      </c>
      <c r="AS58" s="397">
        <f t="shared" si="39"/>
        <v>0</v>
      </c>
      <c r="AT58" s="397">
        <f t="shared" si="39"/>
        <v>0</v>
      </c>
      <c r="AU58" s="397">
        <f t="shared" si="39"/>
        <v>0</v>
      </c>
      <c r="AV58" s="397">
        <f t="shared" si="39"/>
        <v>87.5</v>
      </c>
    </row>
    <row r="59" spans="1:48" ht="18" customHeight="1">
      <c r="A59" s="610" t="s">
        <v>570</v>
      </c>
      <c r="B59" s="1171"/>
      <c r="C59" s="1182"/>
      <c r="D59" s="611">
        <v>1.4</v>
      </c>
      <c r="E59" s="612" t="s">
        <v>571</v>
      </c>
      <c r="F59" s="634">
        <v>200</v>
      </c>
      <c r="G59" s="619">
        <v>100</v>
      </c>
      <c r="H59" s="615">
        <f t="shared" si="26"/>
        <v>183.48623853211009</v>
      </c>
      <c r="I59" s="649">
        <f t="shared" si="40"/>
        <v>16.513761467889907</v>
      </c>
      <c r="J59" s="650">
        <v>0.09</v>
      </c>
      <c r="K59" s="651"/>
      <c r="L59" s="649" t="str">
        <f t="shared" si="27"/>
        <v/>
      </c>
      <c r="M59" s="652"/>
      <c r="N59" s="651"/>
      <c r="O59" s="653" t="str">
        <f t="shared" si="28"/>
        <v/>
      </c>
      <c r="P59" s="654"/>
      <c r="Q59" s="672"/>
      <c r="R59" s="673"/>
      <c r="S59" s="673"/>
      <c r="T59" s="673"/>
      <c r="U59" s="673"/>
      <c r="V59" s="673"/>
      <c r="W59" s="673"/>
      <c r="X59" s="673"/>
      <c r="Y59" s="673"/>
      <c r="Z59" s="673"/>
      <c r="AA59" s="673"/>
      <c r="AB59" s="673"/>
      <c r="AC59" s="673"/>
      <c r="AD59" s="673"/>
      <c r="AE59" s="673"/>
      <c r="AF59" s="673"/>
      <c r="AG59" s="400">
        <f t="shared" si="38"/>
        <v>0</v>
      </c>
      <c r="AH59" s="400">
        <f t="shared" si="39"/>
        <v>17.272727272727273</v>
      </c>
      <c r="AI59" s="400">
        <f t="shared" si="39"/>
        <v>17.272727272727273</v>
      </c>
      <c r="AJ59" s="400">
        <f t="shared" si="39"/>
        <v>17.272727272727273</v>
      </c>
      <c r="AK59" s="400">
        <f t="shared" si="39"/>
        <v>17.272727272727273</v>
      </c>
      <c r="AL59" s="400">
        <f t="shared" si="39"/>
        <v>17.272727272727273</v>
      </c>
      <c r="AM59" s="400">
        <f t="shared" si="39"/>
        <v>17.272727272727273</v>
      </c>
      <c r="AN59" s="400">
        <f t="shared" si="39"/>
        <v>17.272727272727273</v>
      </c>
      <c r="AO59" s="400">
        <f t="shared" si="39"/>
        <v>17.272727272727273</v>
      </c>
      <c r="AP59" s="400">
        <f t="shared" si="39"/>
        <v>17.272727272727273</v>
      </c>
      <c r="AQ59" s="400">
        <f t="shared" si="39"/>
        <v>17.272727272727273</v>
      </c>
      <c r="AR59" s="400">
        <f t="shared" si="39"/>
        <v>17.272727272727273</v>
      </c>
      <c r="AS59" s="400">
        <f t="shared" si="39"/>
        <v>0</v>
      </c>
      <c r="AT59" s="400">
        <f t="shared" si="39"/>
        <v>0</v>
      </c>
      <c r="AU59" s="400">
        <f t="shared" si="39"/>
        <v>0</v>
      </c>
      <c r="AV59" s="400">
        <f t="shared" si="39"/>
        <v>10</v>
      </c>
    </row>
    <row r="60" spans="1:48" ht="18" customHeight="1">
      <c r="A60" s="610" t="s">
        <v>572</v>
      </c>
      <c r="B60" s="1171"/>
      <c r="C60" s="1182"/>
      <c r="D60" s="616">
        <v>1.5</v>
      </c>
      <c r="E60" s="617" t="s">
        <v>573</v>
      </c>
      <c r="F60" s="634">
        <v>2705</v>
      </c>
      <c r="G60" s="619">
        <v>200</v>
      </c>
      <c r="H60" s="620">
        <f t="shared" si="26"/>
        <v>2481.6513761467891</v>
      </c>
      <c r="I60" s="655">
        <f t="shared" si="40"/>
        <v>223.34862385321097</v>
      </c>
      <c r="J60" s="650">
        <v>0.09</v>
      </c>
      <c r="K60" s="656"/>
      <c r="L60" s="655" t="str">
        <f t="shared" si="27"/>
        <v/>
      </c>
      <c r="M60" s="657"/>
      <c r="N60" s="656"/>
      <c r="O60" s="658" t="str">
        <f t="shared" si="28"/>
        <v/>
      </c>
      <c r="P60" s="659"/>
      <c r="Q60" s="674"/>
      <c r="R60" s="675"/>
      <c r="S60" s="675"/>
      <c r="T60" s="675"/>
      <c r="U60" s="675"/>
      <c r="V60" s="675"/>
      <c r="W60" s="675"/>
      <c r="X60" s="675"/>
      <c r="Y60" s="675"/>
      <c r="Z60" s="675"/>
      <c r="AA60" s="675"/>
      <c r="AB60" s="675"/>
      <c r="AC60" s="675"/>
      <c r="AD60" s="675"/>
      <c r="AE60" s="675"/>
      <c r="AF60" s="675"/>
      <c r="AG60" s="397">
        <f t="shared" si="38"/>
        <v>0</v>
      </c>
      <c r="AH60" s="397">
        <f t="shared" si="39"/>
        <v>233.61363636363637</v>
      </c>
      <c r="AI60" s="397">
        <f t="shared" si="39"/>
        <v>233.61363636363637</v>
      </c>
      <c r="AJ60" s="397">
        <f t="shared" si="39"/>
        <v>233.61363636363637</v>
      </c>
      <c r="AK60" s="397">
        <f t="shared" si="39"/>
        <v>233.61363636363637</v>
      </c>
      <c r="AL60" s="397">
        <f t="shared" si="39"/>
        <v>233.61363636363637</v>
      </c>
      <c r="AM60" s="397">
        <f t="shared" si="39"/>
        <v>233.61363636363637</v>
      </c>
      <c r="AN60" s="397">
        <f t="shared" si="39"/>
        <v>233.61363636363637</v>
      </c>
      <c r="AO60" s="397">
        <f t="shared" si="39"/>
        <v>233.61363636363637</v>
      </c>
      <c r="AP60" s="397">
        <f t="shared" si="39"/>
        <v>233.61363636363637</v>
      </c>
      <c r="AQ60" s="397">
        <f t="shared" si="39"/>
        <v>233.61363636363637</v>
      </c>
      <c r="AR60" s="397">
        <f t="shared" si="39"/>
        <v>233.61363636363637</v>
      </c>
      <c r="AS60" s="397">
        <f t="shared" si="39"/>
        <v>0</v>
      </c>
      <c r="AT60" s="397">
        <f t="shared" si="39"/>
        <v>0</v>
      </c>
      <c r="AU60" s="397">
        <f t="shared" si="39"/>
        <v>0</v>
      </c>
      <c r="AV60" s="397">
        <f t="shared" si="39"/>
        <v>135.25</v>
      </c>
    </row>
    <row r="61" spans="1:48" ht="18" customHeight="1">
      <c r="A61" s="610" t="s">
        <v>574</v>
      </c>
      <c r="B61" s="1171"/>
      <c r="C61" s="1182"/>
      <c r="D61" s="611">
        <v>1.6</v>
      </c>
      <c r="E61" s="612" t="s">
        <v>575</v>
      </c>
      <c r="F61" s="634">
        <f>G61*1</f>
        <v>80</v>
      </c>
      <c r="G61" s="619">
        <v>80</v>
      </c>
      <c r="H61" s="615">
        <f t="shared" si="26"/>
        <v>73.394495412844037</v>
      </c>
      <c r="I61" s="649">
        <f t="shared" si="40"/>
        <v>6.6055045871559628</v>
      </c>
      <c r="J61" s="650">
        <v>0.09</v>
      </c>
      <c r="K61" s="651"/>
      <c r="L61" s="649" t="str">
        <f t="shared" si="27"/>
        <v/>
      </c>
      <c r="M61" s="652"/>
      <c r="N61" s="651"/>
      <c r="O61" s="653" t="str">
        <f t="shared" si="28"/>
        <v/>
      </c>
      <c r="P61" s="654"/>
      <c r="Q61" s="672"/>
      <c r="R61" s="673"/>
      <c r="S61" s="673"/>
      <c r="T61" s="673"/>
      <c r="U61" s="673"/>
      <c r="V61" s="673"/>
      <c r="W61" s="673"/>
      <c r="X61" s="673"/>
      <c r="Y61" s="673"/>
      <c r="Z61" s="673"/>
      <c r="AA61" s="673"/>
      <c r="AB61" s="673"/>
      <c r="AC61" s="673"/>
      <c r="AD61" s="673"/>
      <c r="AE61" s="673"/>
      <c r="AF61" s="673"/>
      <c r="AG61" s="400">
        <f t="shared" si="38"/>
        <v>0</v>
      </c>
      <c r="AH61" s="400">
        <f t="shared" si="39"/>
        <v>6.9090909090909092</v>
      </c>
      <c r="AI61" s="400">
        <f t="shared" si="39"/>
        <v>6.9090909090909092</v>
      </c>
      <c r="AJ61" s="400">
        <f t="shared" si="39"/>
        <v>6.9090909090909092</v>
      </c>
      <c r="AK61" s="400">
        <f t="shared" si="39"/>
        <v>6.9090909090909092</v>
      </c>
      <c r="AL61" s="400">
        <f t="shared" si="39"/>
        <v>6.9090909090909092</v>
      </c>
      <c r="AM61" s="400">
        <f t="shared" si="39"/>
        <v>6.9090909090909092</v>
      </c>
      <c r="AN61" s="400">
        <f t="shared" si="39"/>
        <v>6.9090909090909092</v>
      </c>
      <c r="AO61" s="400">
        <f t="shared" si="39"/>
        <v>6.9090909090909092</v>
      </c>
      <c r="AP61" s="400">
        <f t="shared" si="39"/>
        <v>6.9090909090909092</v>
      </c>
      <c r="AQ61" s="400">
        <f t="shared" si="39"/>
        <v>6.9090909090909092</v>
      </c>
      <c r="AR61" s="400">
        <f t="shared" si="39"/>
        <v>6.9090909090909092</v>
      </c>
      <c r="AS61" s="400">
        <f t="shared" si="39"/>
        <v>0</v>
      </c>
      <c r="AT61" s="400">
        <f t="shared" si="39"/>
        <v>0</v>
      </c>
      <c r="AU61" s="400">
        <f t="shared" si="39"/>
        <v>0</v>
      </c>
      <c r="AV61" s="400">
        <f t="shared" si="39"/>
        <v>4</v>
      </c>
    </row>
    <row r="62" spans="1:48" ht="18" customHeight="1">
      <c r="A62" s="610" t="s">
        <v>576</v>
      </c>
      <c r="B62" s="1171"/>
      <c r="C62" s="1182"/>
      <c r="D62" s="616">
        <v>1.7</v>
      </c>
      <c r="E62" s="617" t="s">
        <v>577</v>
      </c>
      <c r="F62" s="634">
        <v>80</v>
      </c>
      <c r="G62" s="619">
        <v>40</v>
      </c>
      <c r="H62" s="620">
        <f t="shared" si="26"/>
        <v>73.394495412844037</v>
      </c>
      <c r="I62" s="655">
        <f t="shared" si="40"/>
        <v>6.6055045871559628</v>
      </c>
      <c r="J62" s="650">
        <v>0.09</v>
      </c>
      <c r="K62" s="656"/>
      <c r="L62" s="655" t="str">
        <f t="shared" si="27"/>
        <v/>
      </c>
      <c r="M62" s="657"/>
      <c r="N62" s="656"/>
      <c r="O62" s="658" t="str">
        <f t="shared" si="28"/>
        <v/>
      </c>
      <c r="P62" s="659"/>
      <c r="Q62" s="674"/>
      <c r="R62" s="675"/>
      <c r="S62" s="675"/>
      <c r="T62" s="675"/>
      <c r="U62" s="675"/>
      <c r="V62" s="675"/>
      <c r="W62" s="675"/>
      <c r="X62" s="675"/>
      <c r="Y62" s="675"/>
      <c r="Z62" s="675"/>
      <c r="AA62" s="675"/>
      <c r="AB62" s="675"/>
      <c r="AC62" s="675"/>
      <c r="AD62" s="675"/>
      <c r="AE62" s="675"/>
      <c r="AF62" s="675"/>
      <c r="AG62" s="397">
        <f t="shared" si="38"/>
        <v>0</v>
      </c>
      <c r="AH62" s="397">
        <f t="shared" si="39"/>
        <v>6.9090909090909092</v>
      </c>
      <c r="AI62" s="397">
        <f t="shared" si="39"/>
        <v>6.9090909090909092</v>
      </c>
      <c r="AJ62" s="397">
        <f t="shared" si="39"/>
        <v>6.9090909090909092</v>
      </c>
      <c r="AK62" s="397">
        <f t="shared" si="39"/>
        <v>6.9090909090909092</v>
      </c>
      <c r="AL62" s="397">
        <f t="shared" si="39"/>
        <v>6.9090909090909092</v>
      </c>
      <c r="AM62" s="397">
        <f t="shared" si="39"/>
        <v>6.9090909090909092</v>
      </c>
      <c r="AN62" s="397">
        <f t="shared" si="39"/>
        <v>6.9090909090909092</v>
      </c>
      <c r="AO62" s="397">
        <f t="shared" si="39"/>
        <v>6.9090909090909092</v>
      </c>
      <c r="AP62" s="397">
        <f t="shared" si="39"/>
        <v>6.9090909090909092</v>
      </c>
      <c r="AQ62" s="397">
        <f t="shared" si="39"/>
        <v>6.9090909090909092</v>
      </c>
      <c r="AR62" s="397">
        <f t="shared" si="39"/>
        <v>6.9090909090909092</v>
      </c>
      <c r="AS62" s="397">
        <f t="shared" si="39"/>
        <v>0</v>
      </c>
      <c r="AT62" s="397">
        <f t="shared" si="39"/>
        <v>0</v>
      </c>
      <c r="AU62" s="397">
        <f t="shared" si="39"/>
        <v>0</v>
      </c>
      <c r="AV62" s="397">
        <f t="shared" si="39"/>
        <v>4</v>
      </c>
    </row>
    <row r="63" spans="1:48" ht="18" customHeight="1">
      <c r="A63" s="610" t="s">
        <v>578</v>
      </c>
      <c r="B63" s="1171"/>
      <c r="C63" s="1182"/>
      <c r="D63" s="611">
        <v>1.8</v>
      </c>
      <c r="E63" s="612" t="s">
        <v>579</v>
      </c>
      <c r="F63" s="634">
        <f>G63*1</f>
        <v>60</v>
      </c>
      <c r="G63" s="619">
        <v>60</v>
      </c>
      <c r="H63" s="615">
        <f t="shared" si="26"/>
        <v>55.045871559633028</v>
      </c>
      <c r="I63" s="649">
        <f t="shared" si="40"/>
        <v>4.9541284403669721</v>
      </c>
      <c r="J63" s="650">
        <v>0.09</v>
      </c>
      <c r="K63" s="651"/>
      <c r="L63" s="649" t="str">
        <f t="shared" si="27"/>
        <v/>
      </c>
      <c r="M63" s="652"/>
      <c r="N63" s="651"/>
      <c r="O63" s="653" t="str">
        <f t="shared" si="28"/>
        <v/>
      </c>
      <c r="P63" s="654"/>
      <c r="Q63" s="672"/>
      <c r="R63" s="673"/>
      <c r="S63" s="673"/>
      <c r="T63" s="673"/>
      <c r="U63" s="673"/>
      <c r="V63" s="673"/>
      <c r="W63" s="673"/>
      <c r="X63" s="673"/>
      <c r="Y63" s="673"/>
      <c r="Z63" s="673"/>
      <c r="AA63" s="673"/>
      <c r="AB63" s="673"/>
      <c r="AC63" s="673"/>
      <c r="AD63" s="673"/>
      <c r="AE63" s="673"/>
      <c r="AF63" s="673"/>
      <c r="AG63" s="400">
        <f t="shared" si="38"/>
        <v>0</v>
      </c>
      <c r="AH63" s="400">
        <f t="shared" si="39"/>
        <v>5.1818181818181817</v>
      </c>
      <c r="AI63" s="400">
        <f t="shared" si="39"/>
        <v>5.1818181818181817</v>
      </c>
      <c r="AJ63" s="400">
        <f t="shared" si="39"/>
        <v>5.1818181818181817</v>
      </c>
      <c r="AK63" s="400">
        <f t="shared" si="39"/>
        <v>5.1818181818181817</v>
      </c>
      <c r="AL63" s="400">
        <f t="shared" si="39"/>
        <v>5.1818181818181817</v>
      </c>
      <c r="AM63" s="400">
        <f t="shared" si="39"/>
        <v>5.1818181818181817</v>
      </c>
      <c r="AN63" s="400">
        <f t="shared" si="39"/>
        <v>5.1818181818181817</v>
      </c>
      <c r="AO63" s="400">
        <f t="shared" si="39"/>
        <v>5.1818181818181817</v>
      </c>
      <c r="AP63" s="400">
        <f t="shared" si="39"/>
        <v>5.1818181818181817</v>
      </c>
      <c r="AQ63" s="400">
        <f t="shared" si="39"/>
        <v>5.1818181818181817</v>
      </c>
      <c r="AR63" s="400">
        <f t="shared" si="39"/>
        <v>5.1818181818181817</v>
      </c>
      <c r="AS63" s="400">
        <f t="shared" si="39"/>
        <v>0</v>
      </c>
      <c r="AT63" s="400">
        <f t="shared" si="39"/>
        <v>0</v>
      </c>
      <c r="AU63" s="400">
        <f t="shared" si="39"/>
        <v>0</v>
      </c>
      <c r="AV63" s="400">
        <f t="shared" si="39"/>
        <v>3</v>
      </c>
    </row>
    <row r="64" spans="1:48" ht="18" customHeight="1">
      <c r="A64" s="610" t="s">
        <v>580</v>
      </c>
      <c r="B64" s="1171"/>
      <c r="C64" s="1182"/>
      <c r="D64" s="616">
        <v>2</v>
      </c>
      <c r="E64" s="617" t="s">
        <v>581</v>
      </c>
      <c r="F64" s="631">
        <f>IFERROR((F53)*G64,0)</f>
        <v>0</v>
      </c>
      <c r="G64" s="635">
        <v>0</v>
      </c>
      <c r="H64" s="620">
        <f t="shared" si="26"/>
        <v>0</v>
      </c>
      <c r="I64" s="655">
        <f t="shared" si="40"/>
        <v>0</v>
      </c>
      <c r="J64" s="665">
        <v>0.06</v>
      </c>
      <c r="K64" s="656">
        <f>IFERROR(K53,0)</f>
        <v>2575.5</v>
      </c>
      <c r="L64" s="655">
        <f t="shared" si="27"/>
        <v>0</v>
      </c>
      <c r="M64" s="657"/>
      <c r="N64" s="656">
        <f>IFERROR(N53,0)</f>
        <v>0</v>
      </c>
      <c r="O64" s="658" t="str">
        <f t="shared" si="28"/>
        <v/>
      </c>
      <c r="P64" s="659"/>
      <c r="Q64" s="674"/>
      <c r="R64" s="675"/>
      <c r="S64" s="675"/>
      <c r="T64" s="675"/>
      <c r="U64" s="675"/>
      <c r="V64" s="675"/>
      <c r="W64" s="675"/>
      <c r="X64" s="675"/>
      <c r="Y64" s="675"/>
      <c r="Z64" s="675"/>
      <c r="AA64" s="675"/>
      <c r="AB64" s="675"/>
      <c r="AC64" s="675"/>
      <c r="AD64" s="675"/>
      <c r="AE64" s="675"/>
      <c r="AF64" s="675"/>
      <c r="AG64" s="655">
        <f>IFERROR((AG53)*$G64,0)</f>
        <v>0</v>
      </c>
      <c r="AH64" s="655">
        <f t="shared" ref="AH64:AV64" si="41">IFERROR((AH53)*$G64,0)</f>
        <v>0</v>
      </c>
      <c r="AI64" s="655">
        <f t="shared" si="41"/>
        <v>0</v>
      </c>
      <c r="AJ64" s="655">
        <f t="shared" si="41"/>
        <v>0</v>
      </c>
      <c r="AK64" s="655">
        <f t="shared" si="41"/>
        <v>0</v>
      </c>
      <c r="AL64" s="655">
        <f t="shared" si="41"/>
        <v>0</v>
      </c>
      <c r="AM64" s="655">
        <f t="shared" si="41"/>
        <v>0</v>
      </c>
      <c r="AN64" s="655">
        <f t="shared" si="41"/>
        <v>0</v>
      </c>
      <c r="AO64" s="655">
        <f t="shared" si="41"/>
        <v>0</v>
      </c>
      <c r="AP64" s="655">
        <f t="shared" si="41"/>
        <v>0</v>
      </c>
      <c r="AQ64" s="655">
        <f t="shared" si="41"/>
        <v>0</v>
      </c>
      <c r="AR64" s="655">
        <f t="shared" si="41"/>
        <v>0</v>
      </c>
      <c r="AS64" s="655">
        <f t="shared" si="41"/>
        <v>0</v>
      </c>
      <c r="AT64" s="655">
        <f t="shared" si="41"/>
        <v>0</v>
      </c>
      <c r="AU64" s="655">
        <f t="shared" si="41"/>
        <v>0</v>
      </c>
      <c r="AV64" s="655">
        <f t="shared" si="41"/>
        <v>0</v>
      </c>
    </row>
    <row r="65" spans="1:48" ht="18" customHeight="1">
      <c r="A65" s="610" t="s">
        <v>582</v>
      </c>
      <c r="B65" s="1171"/>
      <c r="C65" s="1182"/>
      <c r="D65" s="606" t="s">
        <v>583</v>
      </c>
      <c r="E65" s="607" t="s">
        <v>584</v>
      </c>
      <c r="F65" s="627">
        <f>IFERROR((F17+F27+F47+F52)*G65,0)</f>
        <v>3496.8164866778729</v>
      </c>
      <c r="G65" s="687">
        <v>0.03</v>
      </c>
      <c r="H65" s="609">
        <f t="shared" si="26"/>
        <v>3496.8164866778729</v>
      </c>
      <c r="I65" s="645">
        <f t="shared" si="40"/>
        <v>0</v>
      </c>
      <c r="J65" s="726"/>
      <c r="K65" s="644">
        <f>总建筑面积</f>
        <v>176500.66012000002</v>
      </c>
      <c r="L65" s="645">
        <f t="shared" si="27"/>
        <v>198.11917328243661</v>
      </c>
      <c r="M65" s="646">
        <f t="shared" ref="M65:M77" si="42">IFERROR(F65/总投资,0)</f>
        <v>7.5700050771108614E-3</v>
      </c>
      <c r="N65" s="644">
        <f>IFERROR(K5,0)</f>
        <v>176500.66012000002</v>
      </c>
      <c r="O65" s="647">
        <f t="shared" si="28"/>
        <v>198.11917328243661</v>
      </c>
      <c r="P65" s="648">
        <f t="shared" ref="P65:P74" si="43">IFERROR(F65/总销售收入,0)</f>
        <v>7.1581521924758626E-3</v>
      </c>
      <c r="Q65" s="670">
        <v>0.03</v>
      </c>
      <c r="R65" s="671"/>
      <c r="S65" s="671"/>
      <c r="T65" s="671"/>
      <c r="U65" s="671"/>
      <c r="V65" s="671"/>
      <c r="W65" s="671"/>
      <c r="X65" s="671"/>
      <c r="Y65" s="671"/>
      <c r="Z65" s="671"/>
      <c r="AA65" s="671"/>
      <c r="AB65" s="671"/>
      <c r="AC65" s="671"/>
      <c r="AD65" s="671"/>
      <c r="AE65" s="671"/>
      <c r="AF65" s="671"/>
      <c r="AG65" s="685">
        <f>IFERROR((AG17+AG27+AG47+AG52)*$G65,0)</f>
        <v>90.280087651380015</v>
      </c>
      <c r="AH65" s="685">
        <f t="shared" ref="AH65:AV65" si="44">IFERROR((AH17+AH27+AH47+AH52)*$G65,0)</f>
        <v>360.02991361081035</v>
      </c>
      <c r="AI65" s="685">
        <f t="shared" si="44"/>
        <v>286.16438735059029</v>
      </c>
      <c r="AJ65" s="685">
        <f t="shared" si="44"/>
        <v>286.16438735059029</v>
      </c>
      <c r="AK65" s="685">
        <f t="shared" si="44"/>
        <v>286.16438735059029</v>
      </c>
      <c r="AL65" s="685">
        <f t="shared" si="44"/>
        <v>286.16438735059029</v>
      </c>
      <c r="AM65" s="685">
        <f t="shared" si="44"/>
        <v>286.16438735059029</v>
      </c>
      <c r="AN65" s="685">
        <f t="shared" si="44"/>
        <v>286.16438735059029</v>
      </c>
      <c r="AO65" s="685">
        <f t="shared" si="44"/>
        <v>286.16438735059029</v>
      </c>
      <c r="AP65" s="685">
        <f t="shared" si="44"/>
        <v>286.16438735059029</v>
      </c>
      <c r="AQ65" s="685">
        <f t="shared" si="44"/>
        <v>284.21233009679946</v>
      </c>
      <c r="AR65" s="685">
        <f t="shared" si="44"/>
        <v>307.5104172326395</v>
      </c>
      <c r="AS65" s="685">
        <f t="shared" si="44"/>
        <v>0</v>
      </c>
      <c r="AT65" s="685">
        <f t="shared" si="44"/>
        <v>0</v>
      </c>
      <c r="AU65" s="685">
        <f t="shared" si="44"/>
        <v>0</v>
      </c>
      <c r="AV65" s="685">
        <f t="shared" si="44"/>
        <v>165.46863928152172</v>
      </c>
    </row>
    <row r="66" spans="1:48" ht="18" customHeight="1">
      <c r="A66" s="610" t="s">
        <v>585</v>
      </c>
      <c r="B66" s="1171"/>
      <c r="C66" s="1182"/>
      <c r="D66" s="606" t="s">
        <v>586</v>
      </c>
      <c r="E66" s="607" t="s">
        <v>587</v>
      </c>
      <c r="F66" s="627">
        <f>IFERROR((F17+F27+F47+F52)*G66,0)</f>
        <v>0</v>
      </c>
      <c r="G66" s="688">
        <v>0</v>
      </c>
      <c r="H66" s="609">
        <f t="shared" si="26"/>
        <v>0</v>
      </c>
      <c r="I66" s="645">
        <f t="shared" si="40"/>
        <v>0</v>
      </c>
      <c r="J66" s="726"/>
      <c r="K66" s="644">
        <f>IFERROR(K65,0)</f>
        <v>176500.66012000002</v>
      </c>
      <c r="L66" s="645">
        <f t="shared" si="27"/>
        <v>0</v>
      </c>
      <c r="M66" s="646">
        <f t="shared" si="42"/>
        <v>0</v>
      </c>
      <c r="N66" s="644">
        <f t="shared" ref="N66:N71" si="45">IFERROR(N65,0)</f>
        <v>176500.66012000002</v>
      </c>
      <c r="O66" s="647">
        <f t="shared" si="28"/>
        <v>0</v>
      </c>
      <c r="P66" s="648">
        <f t="shared" si="43"/>
        <v>0</v>
      </c>
      <c r="Q66" s="670"/>
      <c r="R66" s="671"/>
      <c r="S66" s="671"/>
      <c r="T66" s="671"/>
      <c r="U66" s="671"/>
      <c r="V66" s="671"/>
      <c r="W66" s="671"/>
      <c r="X66" s="671"/>
      <c r="Y66" s="671"/>
      <c r="Z66" s="671"/>
      <c r="AA66" s="671"/>
      <c r="AB66" s="671"/>
      <c r="AC66" s="671"/>
      <c r="AD66" s="671"/>
      <c r="AE66" s="671"/>
      <c r="AF66" s="671"/>
      <c r="AG66" s="685">
        <f>IFERROR((AG17+AG27+AG47+AG52)*$G66,0)</f>
        <v>0</v>
      </c>
      <c r="AH66" s="685">
        <f t="shared" ref="AH66:AV66" si="46">IFERROR((AH17+AH27+AH47+AH52)*$G66,0)</f>
        <v>0</v>
      </c>
      <c r="AI66" s="685">
        <f t="shared" si="46"/>
        <v>0</v>
      </c>
      <c r="AJ66" s="685">
        <f t="shared" si="46"/>
        <v>0</v>
      </c>
      <c r="AK66" s="685">
        <f t="shared" si="46"/>
        <v>0</v>
      </c>
      <c r="AL66" s="685">
        <f t="shared" si="46"/>
        <v>0</v>
      </c>
      <c r="AM66" s="685">
        <f t="shared" si="46"/>
        <v>0</v>
      </c>
      <c r="AN66" s="685">
        <f t="shared" si="46"/>
        <v>0</v>
      </c>
      <c r="AO66" s="685">
        <f t="shared" si="46"/>
        <v>0</v>
      </c>
      <c r="AP66" s="685">
        <f t="shared" si="46"/>
        <v>0</v>
      </c>
      <c r="AQ66" s="685">
        <f t="shared" si="46"/>
        <v>0</v>
      </c>
      <c r="AR66" s="685">
        <f t="shared" si="46"/>
        <v>0</v>
      </c>
      <c r="AS66" s="685">
        <f t="shared" si="46"/>
        <v>0</v>
      </c>
      <c r="AT66" s="685">
        <f t="shared" si="46"/>
        <v>0</v>
      </c>
      <c r="AU66" s="685">
        <f t="shared" si="46"/>
        <v>0</v>
      </c>
      <c r="AV66" s="685">
        <f t="shared" si="46"/>
        <v>0</v>
      </c>
    </row>
    <row r="67" spans="1:48" ht="18" customHeight="1">
      <c r="A67" s="610" t="s">
        <v>588</v>
      </c>
      <c r="B67" s="1172"/>
      <c r="C67" s="1183"/>
      <c r="D67" s="606" t="s">
        <v>589</v>
      </c>
      <c r="E67" s="607" t="s">
        <v>590</v>
      </c>
      <c r="F67" s="627">
        <f>IFERROR(K67*G67/10000,0)</f>
        <v>0</v>
      </c>
      <c r="G67" s="688"/>
      <c r="H67" s="615">
        <f t="shared" si="26"/>
        <v>0</v>
      </c>
      <c r="I67" s="649">
        <f t="shared" si="40"/>
        <v>0</v>
      </c>
      <c r="J67" s="665">
        <v>0.06</v>
      </c>
      <c r="K67" s="644">
        <f>IFERROR(K66,0)</f>
        <v>176500.66012000002</v>
      </c>
      <c r="L67" s="645">
        <f t="shared" si="27"/>
        <v>0</v>
      </c>
      <c r="M67" s="646">
        <f t="shared" si="42"/>
        <v>0</v>
      </c>
      <c r="N67" s="644">
        <f t="shared" si="45"/>
        <v>176500.66012000002</v>
      </c>
      <c r="O67" s="647">
        <f t="shared" si="28"/>
        <v>0</v>
      </c>
      <c r="P67" s="648">
        <f t="shared" si="43"/>
        <v>0</v>
      </c>
      <c r="Q67" s="670"/>
      <c r="R67" s="671"/>
      <c r="S67" s="671"/>
      <c r="T67" s="671"/>
      <c r="U67" s="671"/>
      <c r="V67" s="671"/>
      <c r="W67" s="671"/>
      <c r="X67" s="671"/>
      <c r="Y67" s="671"/>
      <c r="Z67" s="671"/>
      <c r="AA67" s="671"/>
      <c r="AB67" s="671"/>
      <c r="AC67" s="671"/>
      <c r="AD67" s="671"/>
      <c r="AE67" s="671"/>
      <c r="AF67" s="671"/>
      <c r="AG67" s="685">
        <f>IFERROR($F67/16,0)</f>
        <v>0</v>
      </c>
      <c r="AH67" s="685">
        <f t="shared" ref="AH67:AV67" si="47">IFERROR($F67/16,0)</f>
        <v>0</v>
      </c>
      <c r="AI67" s="685">
        <f t="shared" si="47"/>
        <v>0</v>
      </c>
      <c r="AJ67" s="685">
        <f t="shared" si="47"/>
        <v>0</v>
      </c>
      <c r="AK67" s="685">
        <f t="shared" si="47"/>
        <v>0</v>
      </c>
      <c r="AL67" s="685">
        <f t="shared" si="47"/>
        <v>0</v>
      </c>
      <c r="AM67" s="685">
        <f t="shared" si="47"/>
        <v>0</v>
      </c>
      <c r="AN67" s="685">
        <f t="shared" si="47"/>
        <v>0</v>
      </c>
      <c r="AO67" s="685">
        <f t="shared" si="47"/>
        <v>0</v>
      </c>
      <c r="AP67" s="685">
        <f t="shared" si="47"/>
        <v>0</v>
      </c>
      <c r="AQ67" s="685">
        <f t="shared" si="47"/>
        <v>0</v>
      </c>
      <c r="AR67" s="685">
        <f t="shared" si="47"/>
        <v>0</v>
      </c>
      <c r="AS67" s="685">
        <f t="shared" si="47"/>
        <v>0</v>
      </c>
      <c r="AT67" s="685">
        <f t="shared" si="47"/>
        <v>0</v>
      </c>
      <c r="AU67" s="685">
        <f t="shared" si="47"/>
        <v>0</v>
      </c>
      <c r="AV67" s="685">
        <f t="shared" si="47"/>
        <v>0</v>
      </c>
    </row>
    <row r="68" spans="1:48" ht="18" customHeight="1">
      <c r="A68" s="605" t="s">
        <v>591</v>
      </c>
      <c r="B68" s="1173" t="s">
        <v>496</v>
      </c>
      <c r="C68" s="1184" t="s">
        <v>592</v>
      </c>
      <c r="D68" s="689" t="s">
        <v>408</v>
      </c>
      <c r="E68" s="690" t="s">
        <v>592</v>
      </c>
      <c r="F68" s="691">
        <f>IFERROR(SUM(F69:F71),0)</f>
        <v>44270.522645999998</v>
      </c>
      <c r="G68" s="689"/>
      <c r="H68" s="692">
        <f t="shared" si="26"/>
        <v>43469.402577019209</v>
      </c>
      <c r="I68" s="727">
        <f>IFERROR(SUM(I69:I71),0)</f>
        <v>801.12006898078585</v>
      </c>
      <c r="J68" s="728"/>
      <c r="K68" s="729">
        <f>总建筑面积</f>
        <v>176500.66012000002</v>
      </c>
      <c r="L68" s="727">
        <f t="shared" si="27"/>
        <v>2508.2355281788277</v>
      </c>
      <c r="M68" s="730">
        <f t="shared" si="42"/>
        <v>9.5838052260774353E-2</v>
      </c>
      <c r="N68" s="729">
        <f t="shared" si="45"/>
        <v>176500.66012000002</v>
      </c>
      <c r="O68" s="731">
        <f t="shared" si="28"/>
        <v>2508.2355281788277</v>
      </c>
      <c r="P68" s="732">
        <f t="shared" si="43"/>
        <v>9.0623897464399486E-2</v>
      </c>
      <c r="Q68" s="766"/>
      <c r="R68" s="767"/>
      <c r="S68" s="767"/>
      <c r="T68" s="767"/>
      <c r="U68" s="767"/>
      <c r="V68" s="767"/>
      <c r="W68" s="767"/>
      <c r="X68" s="767"/>
      <c r="Y68" s="767"/>
      <c r="Z68" s="767"/>
      <c r="AA68" s="767"/>
      <c r="AB68" s="767"/>
      <c r="AC68" s="767"/>
      <c r="AD68" s="767"/>
      <c r="AE68" s="767"/>
      <c r="AF68" s="767"/>
      <c r="AG68" s="778">
        <f>IFERROR(SUM(AG69:AG71),0)</f>
        <v>2242.6926637500001</v>
      </c>
      <c r="AH68" s="778">
        <f t="shared" ref="AH68:AV68" si="48">IFERROR(SUM(AH69:AH71),0)</f>
        <v>6614.5676637500001</v>
      </c>
      <c r="AI68" s="778">
        <f t="shared" si="48"/>
        <v>4425.1299537980003</v>
      </c>
      <c r="AJ68" s="778">
        <f t="shared" si="48"/>
        <v>4272.1612387900004</v>
      </c>
      <c r="AK68" s="778">
        <f t="shared" si="48"/>
        <v>4281.6143113019998</v>
      </c>
      <c r="AL68" s="778">
        <f t="shared" si="48"/>
        <v>5464.2042028100004</v>
      </c>
      <c r="AM68" s="778">
        <f t="shared" si="48"/>
        <v>3198.9461713500004</v>
      </c>
      <c r="AN68" s="778">
        <f t="shared" si="48"/>
        <v>2783.6961713500004</v>
      </c>
      <c r="AO68" s="778">
        <f t="shared" si="48"/>
        <v>3115.0320751300001</v>
      </c>
      <c r="AP68" s="778">
        <f t="shared" si="48"/>
        <v>2562.8055688300001</v>
      </c>
      <c r="AQ68" s="778">
        <f t="shared" si="48"/>
        <v>1343.22065505</v>
      </c>
      <c r="AR68" s="778">
        <f t="shared" si="48"/>
        <v>1220.1253537900002</v>
      </c>
      <c r="AS68" s="778">
        <f t="shared" si="48"/>
        <v>1109.68005253</v>
      </c>
      <c r="AT68" s="778">
        <f t="shared" si="48"/>
        <v>999.23475127000006</v>
      </c>
      <c r="AU68" s="778">
        <f t="shared" si="48"/>
        <v>323.16865375000003</v>
      </c>
      <c r="AV68" s="778">
        <f t="shared" si="48"/>
        <v>314.24315875000002</v>
      </c>
    </row>
    <row r="69" spans="1:48" ht="18" customHeight="1">
      <c r="A69" s="610" t="s">
        <v>593</v>
      </c>
      <c r="B69" s="1174"/>
      <c r="C69" s="1185"/>
      <c r="D69" s="611">
        <v>1</v>
      </c>
      <c r="E69" s="612" t="s">
        <v>594</v>
      </c>
      <c r="F69" s="622">
        <f>IFERROR(总销售收入*G69,0)</f>
        <v>4885.0826200000001</v>
      </c>
      <c r="G69" s="693">
        <v>0.01</v>
      </c>
      <c r="H69" s="615">
        <f t="shared" ref="H69:H73" si="49">IFERROR(F69-I69,0)</f>
        <v>4885.0826200000001</v>
      </c>
      <c r="I69" s="649">
        <f>IFERROR(F69/(1+J69)*J69,0)</f>
        <v>0</v>
      </c>
      <c r="J69" s="652"/>
      <c r="K69" s="651">
        <f>IFERROR(K68,0)</f>
        <v>176500.66012000002</v>
      </c>
      <c r="L69" s="649">
        <f t="shared" ref="L69:L71" si="50">IFERROR(IF(K69&lt;&gt;"",IF(K69&lt;&gt;0,F69/K69*10000,""),""),0)</f>
        <v>276.77418411232622</v>
      </c>
      <c r="M69" s="652">
        <f t="shared" si="42"/>
        <v>1.0575362011816275E-2</v>
      </c>
      <c r="N69" s="651">
        <f t="shared" si="45"/>
        <v>176500.66012000002</v>
      </c>
      <c r="O69" s="653">
        <f t="shared" ref="O69:O71" si="51">IFERROR(IF(N69&lt;&gt;"",IF(N69&lt;&gt;0,F69/N69*10000,""),""),0)</f>
        <v>276.77418411232622</v>
      </c>
      <c r="P69" s="654">
        <f t="shared" si="43"/>
        <v>0.01</v>
      </c>
      <c r="Q69" s="672"/>
      <c r="R69" s="673"/>
      <c r="S69" s="673"/>
      <c r="T69" s="673"/>
      <c r="U69" s="673"/>
      <c r="V69" s="673"/>
      <c r="W69" s="673"/>
      <c r="X69" s="673"/>
      <c r="Y69" s="673"/>
      <c r="Z69" s="673"/>
      <c r="AA69" s="673"/>
      <c r="AB69" s="673"/>
      <c r="AC69" s="673"/>
      <c r="AD69" s="673"/>
      <c r="AE69" s="673"/>
      <c r="AF69" s="673"/>
      <c r="AG69" s="649">
        <f>IFERROR($F69/16,0)</f>
        <v>305.31766375000001</v>
      </c>
      <c r="AH69" s="649">
        <f t="shared" ref="AH69:AV69" si="52">IFERROR($F69/16,0)</f>
        <v>305.31766375000001</v>
      </c>
      <c r="AI69" s="649">
        <f t="shared" si="52"/>
        <v>305.31766375000001</v>
      </c>
      <c r="AJ69" s="649">
        <f t="shared" si="52"/>
        <v>305.31766375000001</v>
      </c>
      <c r="AK69" s="649">
        <f t="shared" si="52"/>
        <v>305.31766375000001</v>
      </c>
      <c r="AL69" s="649">
        <f t="shared" si="52"/>
        <v>305.31766375000001</v>
      </c>
      <c r="AM69" s="649">
        <f t="shared" si="52"/>
        <v>305.31766375000001</v>
      </c>
      <c r="AN69" s="649">
        <f t="shared" si="52"/>
        <v>305.31766375000001</v>
      </c>
      <c r="AO69" s="649">
        <f t="shared" si="52"/>
        <v>305.31766375000001</v>
      </c>
      <c r="AP69" s="649">
        <f t="shared" si="52"/>
        <v>305.31766375000001</v>
      </c>
      <c r="AQ69" s="649">
        <f t="shared" si="52"/>
        <v>305.31766375000001</v>
      </c>
      <c r="AR69" s="649">
        <f t="shared" si="52"/>
        <v>305.31766375000001</v>
      </c>
      <c r="AS69" s="649">
        <f t="shared" si="52"/>
        <v>305.31766375000001</v>
      </c>
      <c r="AT69" s="649">
        <f t="shared" si="52"/>
        <v>305.31766375000001</v>
      </c>
      <c r="AU69" s="649">
        <f t="shared" si="52"/>
        <v>305.31766375000001</v>
      </c>
      <c r="AV69" s="649">
        <f t="shared" si="52"/>
        <v>305.31766375000001</v>
      </c>
    </row>
    <row r="70" spans="1:48" ht="18" customHeight="1">
      <c r="A70" s="610" t="s">
        <v>595</v>
      </c>
      <c r="B70" s="1174"/>
      <c r="C70" s="1185"/>
      <c r="D70" s="616">
        <v>2</v>
      </c>
      <c r="E70" s="617" t="s">
        <v>596</v>
      </c>
      <c r="F70" s="631">
        <f>财务费</f>
        <v>26149.75</v>
      </c>
      <c r="G70" s="619"/>
      <c r="H70" s="620">
        <f t="shared" si="49"/>
        <v>26149.75</v>
      </c>
      <c r="I70" s="655"/>
      <c r="J70" s="436"/>
      <c r="K70" s="656">
        <f>IFERROR(K69,0)</f>
        <v>176500.66012000002</v>
      </c>
      <c r="L70" s="655">
        <f t="shared" si="50"/>
        <v>1481.5666968169521</v>
      </c>
      <c r="M70" s="657">
        <f t="shared" si="42"/>
        <v>5.6609702287592559E-2</v>
      </c>
      <c r="N70" s="656">
        <f t="shared" si="45"/>
        <v>176500.66012000002</v>
      </c>
      <c r="O70" s="658">
        <f t="shared" si="51"/>
        <v>1481.5666968169521</v>
      </c>
      <c r="P70" s="659">
        <f t="shared" si="43"/>
        <v>5.3529800894135136E-2</v>
      </c>
      <c r="Q70" s="674"/>
      <c r="R70" s="675"/>
      <c r="S70" s="675"/>
      <c r="T70" s="675"/>
      <c r="U70" s="675"/>
      <c r="V70" s="675"/>
      <c r="W70" s="675"/>
      <c r="X70" s="675"/>
      <c r="Y70" s="675"/>
      <c r="Z70" s="675"/>
      <c r="AA70" s="675"/>
      <c r="AB70" s="675"/>
      <c r="AC70" s="675"/>
      <c r="AD70" s="675"/>
      <c r="AE70" s="675"/>
      <c r="AF70" s="675"/>
      <c r="AG70" s="397">
        <f>IFERROR(基础运算!E15,0)</f>
        <v>1937.375</v>
      </c>
      <c r="AH70" s="397">
        <f>IFERROR(基础运算!F15,0)</f>
        <v>4309.25</v>
      </c>
      <c r="AI70" s="397">
        <f>IFERROR(基础运算!G15,0)</f>
        <v>3581.5</v>
      </c>
      <c r="AJ70" s="397">
        <f>IFERROR(基础运算!H15,0)</f>
        <v>3518.25</v>
      </c>
      <c r="AK70" s="397">
        <f>IFERROR(基础运算!I15,0)</f>
        <v>3393.125</v>
      </c>
      <c r="AL70" s="397">
        <f>IFERROR(基础运算!J15,0)</f>
        <v>1750</v>
      </c>
      <c r="AM70" s="397">
        <f>IFERROR(基础运算!K15,0)</f>
        <v>1780.25</v>
      </c>
      <c r="AN70" s="397">
        <f>IFERROR(基础运算!L15,0)</f>
        <v>1365</v>
      </c>
      <c r="AO70" s="397">
        <f>IFERROR(基础运算!M15,0)</f>
        <v>1365</v>
      </c>
      <c r="AP70" s="397">
        <f>IFERROR(基础运算!N15,0)</f>
        <v>1365</v>
      </c>
      <c r="AQ70" s="397">
        <f>IFERROR(基础运算!O15,0)</f>
        <v>446.25</v>
      </c>
      <c r="AR70" s="397">
        <f>IFERROR(基础运算!P15,0)</f>
        <v>446.25</v>
      </c>
      <c r="AS70" s="397">
        <f>IFERROR(基础运算!Q15,0)</f>
        <v>446.25</v>
      </c>
      <c r="AT70" s="397">
        <f>IFERROR(基础运算!R15,0)</f>
        <v>446.25</v>
      </c>
      <c r="AU70" s="397">
        <f>IFERROR(基础运算!S15,0)</f>
        <v>0</v>
      </c>
      <c r="AV70" s="397">
        <f>IFERROR(基础运算!T15,0)</f>
        <v>0</v>
      </c>
    </row>
    <row r="71" spans="1:48" ht="18" customHeight="1">
      <c r="A71" s="610" t="s">
        <v>597</v>
      </c>
      <c r="B71" s="1174"/>
      <c r="C71" s="1185"/>
      <c r="D71" s="611">
        <v>3</v>
      </c>
      <c r="E71" s="612" t="s">
        <v>598</v>
      </c>
      <c r="F71" s="622">
        <f>IFERROR(F72+F73,0)</f>
        <v>13235.690026</v>
      </c>
      <c r="G71" s="619"/>
      <c r="H71" s="615">
        <f t="shared" si="49"/>
        <v>12434.569957019214</v>
      </c>
      <c r="I71" s="649">
        <f>IFERROR(I72+I73,0)</f>
        <v>801.12006898078585</v>
      </c>
      <c r="J71" s="660"/>
      <c r="K71" s="651">
        <f>IFERROR(K70,0)</f>
        <v>176500.66012000002</v>
      </c>
      <c r="L71" s="649">
        <f t="shared" si="50"/>
        <v>749.89464724954939</v>
      </c>
      <c r="M71" s="652">
        <f t="shared" si="42"/>
        <v>2.8652987961365527E-2</v>
      </c>
      <c r="N71" s="651">
        <f t="shared" si="45"/>
        <v>176500.66012000002</v>
      </c>
      <c r="O71" s="653">
        <f t="shared" si="51"/>
        <v>749.89464724954939</v>
      </c>
      <c r="P71" s="654">
        <f t="shared" si="43"/>
        <v>2.7094096570264355E-2</v>
      </c>
      <c r="Q71" s="672"/>
      <c r="R71" s="673"/>
      <c r="S71" s="673"/>
      <c r="T71" s="673"/>
      <c r="U71" s="673"/>
      <c r="V71" s="673"/>
      <c r="W71" s="673"/>
      <c r="X71" s="673"/>
      <c r="Y71" s="673"/>
      <c r="Z71" s="673"/>
      <c r="AA71" s="673"/>
      <c r="AB71" s="673"/>
      <c r="AC71" s="673"/>
      <c r="AD71" s="673"/>
      <c r="AE71" s="673"/>
      <c r="AF71" s="673"/>
      <c r="AG71" s="400">
        <f>IFERROR(AG72+AG73,0)</f>
        <v>0</v>
      </c>
      <c r="AH71" s="400">
        <f t="shared" ref="AH71:AV71" si="53">IFERROR(AH72+AH73,0)</f>
        <v>2000</v>
      </c>
      <c r="AI71" s="400">
        <f t="shared" si="53"/>
        <v>538.31229004800002</v>
      </c>
      <c r="AJ71" s="400">
        <f t="shared" si="53"/>
        <v>448.59357504000008</v>
      </c>
      <c r="AK71" s="400">
        <f t="shared" si="53"/>
        <v>583.17164755200008</v>
      </c>
      <c r="AL71" s="400">
        <f t="shared" si="53"/>
        <v>3408.8865390600008</v>
      </c>
      <c r="AM71" s="400">
        <f t="shared" si="53"/>
        <v>1113.3785076000001</v>
      </c>
      <c r="AN71" s="400">
        <f t="shared" si="53"/>
        <v>1113.3785076000001</v>
      </c>
      <c r="AO71" s="400">
        <f t="shared" si="53"/>
        <v>1444.71441138</v>
      </c>
      <c r="AP71" s="400">
        <f t="shared" si="53"/>
        <v>892.48790508000002</v>
      </c>
      <c r="AQ71" s="400">
        <f t="shared" si="53"/>
        <v>591.65299130000005</v>
      </c>
      <c r="AR71" s="400">
        <f t="shared" si="53"/>
        <v>468.55769004000007</v>
      </c>
      <c r="AS71" s="400">
        <f t="shared" si="53"/>
        <v>358.11238878</v>
      </c>
      <c r="AT71" s="400">
        <f t="shared" si="53"/>
        <v>247.66708752000002</v>
      </c>
      <c r="AU71" s="400">
        <f t="shared" si="53"/>
        <v>17.850990000000003</v>
      </c>
      <c r="AV71" s="400">
        <f t="shared" si="53"/>
        <v>8.9254950000000015</v>
      </c>
    </row>
    <row r="72" spans="1:48" ht="18" hidden="1" customHeight="1">
      <c r="A72" s="610" t="s">
        <v>599</v>
      </c>
      <c r="B72" s="1174"/>
      <c r="C72" s="1185"/>
      <c r="D72" s="616">
        <v>3.1</v>
      </c>
      <c r="E72" s="617" t="s">
        <v>600</v>
      </c>
      <c r="F72" s="631">
        <f>IFERROR(收入测算!F90,0)</f>
        <v>11235.690026</v>
      </c>
      <c r="G72" s="694">
        <f>F72/F85</f>
        <v>2.3E-2</v>
      </c>
      <c r="H72" s="620">
        <f t="shared" si="49"/>
        <v>10599.707571698113</v>
      </c>
      <c r="I72" s="655">
        <f>IFERROR(F72/(1+J72)*J72,0)</f>
        <v>635.98245430188672</v>
      </c>
      <c r="J72" s="650">
        <v>0.06</v>
      </c>
      <c r="K72" s="656"/>
      <c r="L72" s="655"/>
      <c r="M72" s="657">
        <f t="shared" si="42"/>
        <v>2.4323332627177435E-2</v>
      </c>
      <c r="N72" s="656"/>
      <c r="O72" s="658"/>
      <c r="P72" s="659">
        <f t="shared" si="43"/>
        <v>2.3E-2</v>
      </c>
      <c r="Q72" s="674"/>
      <c r="R72" s="675"/>
      <c r="S72" s="675"/>
      <c r="T72" s="675"/>
      <c r="U72" s="675"/>
      <c r="V72" s="675"/>
      <c r="W72" s="675"/>
      <c r="X72" s="675"/>
      <c r="Y72" s="675"/>
      <c r="Z72" s="675"/>
      <c r="AA72" s="675"/>
      <c r="AB72" s="675"/>
      <c r="AC72" s="675"/>
      <c r="AD72" s="675"/>
      <c r="AE72" s="675"/>
      <c r="AF72" s="675"/>
      <c r="AG72" s="397">
        <f>IFERROR(收入测算!H90,0)</f>
        <v>0</v>
      </c>
      <c r="AH72" s="397">
        <f>IFERROR(收入测算!I90,0)</f>
        <v>0</v>
      </c>
      <c r="AI72" s="397">
        <f>IFERROR(收入测算!J90,0)</f>
        <v>538.31229004800002</v>
      </c>
      <c r="AJ72" s="397">
        <f>IFERROR(收入测算!K90,0)</f>
        <v>448.59357504000008</v>
      </c>
      <c r="AK72" s="397">
        <f>IFERROR(收入测算!L90,0)</f>
        <v>583.17164755200008</v>
      </c>
      <c r="AL72" s="397">
        <f>IFERROR(收入测算!M90,0)</f>
        <v>3408.8865390600008</v>
      </c>
      <c r="AM72" s="397">
        <f>IFERROR(收入测算!N90,0)</f>
        <v>1113.3785076000001</v>
      </c>
      <c r="AN72" s="397">
        <f>IFERROR(收入测算!O90,0)</f>
        <v>1113.3785076000001</v>
      </c>
      <c r="AO72" s="397">
        <f>IFERROR(收入测算!P90,0)</f>
        <v>1444.71441138</v>
      </c>
      <c r="AP72" s="397">
        <f>IFERROR(收入测算!Q90,0)</f>
        <v>892.48790508000002</v>
      </c>
      <c r="AQ72" s="397">
        <f>IFERROR(收入测算!R90,0)</f>
        <v>591.65299130000005</v>
      </c>
      <c r="AR72" s="397">
        <f>IFERROR(收入测算!S90,0)</f>
        <v>468.55769004000007</v>
      </c>
      <c r="AS72" s="397">
        <f>IFERROR(收入测算!T90,0)</f>
        <v>358.11238878</v>
      </c>
      <c r="AT72" s="397">
        <f>IFERROR(收入测算!U90,0)</f>
        <v>247.66708752000002</v>
      </c>
      <c r="AU72" s="397">
        <f>IFERROR(收入测算!V90,0)</f>
        <v>17.850990000000003</v>
      </c>
      <c r="AV72" s="397">
        <f>IFERROR(收入测算!W90,0)</f>
        <v>8.9254950000000015</v>
      </c>
    </row>
    <row r="73" spans="1:48" ht="18" hidden="1" customHeight="1">
      <c r="A73" s="610" t="s">
        <v>601</v>
      </c>
      <c r="B73" s="1175"/>
      <c r="C73" s="1186"/>
      <c r="D73" s="611">
        <v>3.2</v>
      </c>
      <c r="E73" s="612" t="s">
        <v>602</v>
      </c>
      <c r="F73" s="618">
        <v>2000</v>
      </c>
      <c r="G73" s="619"/>
      <c r="H73" s="615">
        <f t="shared" si="49"/>
        <v>1834.8623853211009</v>
      </c>
      <c r="I73" s="649">
        <f>IFERROR(F73/(1+J73)*J73,0)</f>
        <v>165.13761467889907</v>
      </c>
      <c r="J73" s="650">
        <v>0.09</v>
      </c>
      <c r="K73" s="651"/>
      <c r="L73" s="649"/>
      <c r="M73" s="652">
        <f t="shared" si="42"/>
        <v>4.3296553341880938E-3</v>
      </c>
      <c r="N73" s="651"/>
      <c r="O73" s="653"/>
      <c r="P73" s="654">
        <f t="shared" si="43"/>
        <v>4.0940965702643533E-3</v>
      </c>
      <c r="Q73" s="672"/>
      <c r="R73" s="673"/>
      <c r="S73" s="673"/>
      <c r="T73" s="673"/>
      <c r="U73" s="673"/>
      <c r="V73" s="673"/>
      <c r="W73" s="673"/>
      <c r="X73" s="673"/>
      <c r="Y73" s="673"/>
      <c r="Z73" s="673"/>
      <c r="AA73" s="673"/>
      <c r="AB73" s="673"/>
      <c r="AC73" s="673"/>
      <c r="AD73" s="673"/>
      <c r="AE73" s="673"/>
      <c r="AF73" s="673"/>
      <c r="AG73" s="400">
        <f>IFERROR(IF(COLUMN()=34,$F73,0),0)</f>
        <v>0</v>
      </c>
      <c r="AH73" s="400">
        <f t="shared" ref="AH73:AV73" si="54">IFERROR(IF(COLUMN()=34,$F73,0),0)</f>
        <v>2000</v>
      </c>
      <c r="AI73" s="400">
        <f t="shared" si="54"/>
        <v>0</v>
      </c>
      <c r="AJ73" s="400">
        <f t="shared" si="54"/>
        <v>0</v>
      </c>
      <c r="AK73" s="400">
        <f t="shared" si="54"/>
        <v>0</v>
      </c>
      <c r="AL73" s="400">
        <f t="shared" si="54"/>
        <v>0</v>
      </c>
      <c r="AM73" s="400">
        <f t="shared" si="54"/>
        <v>0</v>
      </c>
      <c r="AN73" s="400">
        <f t="shared" si="54"/>
        <v>0</v>
      </c>
      <c r="AO73" s="400">
        <f t="shared" si="54"/>
        <v>0</v>
      </c>
      <c r="AP73" s="400">
        <f t="shared" si="54"/>
        <v>0</v>
      </c>
      <c r="AQ73" s="400">
        <f t="shared" si="54"/>
        <v>0</v>
      </c>
      <c r="AR73" s="400">
        <f t="shared" si="54"/>
        <v>0</v>
      </c>
      <c r="AS73" s="400">
        <f t="shared" si="54"/>
        <v>0</v>
      </c>
      <c r="AT73" s="400">
        <f t="shared" si="54"/>
        <v>0</v>
      </c>
      <c r="AU73" s="400">
        <f t="shared" si="54"/>
        <v>0</v>
      </c>
      <c r="AV73" s="400">
        <f t="shared" si="54"/>
        <v>0</v>
      </c>
    </row>
    <row r="74" spans="1:48" ht="18" customHeight="1">
      <c r="A74" s="695" t="s">
        <v>603</v>
      </c>
      <c r="B74" s="696" t="s">
        <v>517</v>
      </c>
      <c r="C74" s="696" t="s">
        <v>604</v>
      </c>
      <c r="D74" s="689" t="s">
        <v>412</v>
      </c>
      <c r="E74" s="690" t="s">
        <v>605</v>
      </c>
      <c r="F74" s="691">
        <f>IFERROR(F75+F76,0)</f>
        <v>8152.6883641191371</v>
      </c>
      <c r="G74" s="689"/>
      <c r="H74" s="692">
        <f>IFERROR(H75+H76,0)</f>
        <v>873.50232472705045</v>
      </c>
      <c r="I74" s="727"/>
      <c r="J74" s="733"/>
      <c r="K74" s="729">
        <f>总建筑面积</f>
        <v>176500.66012000002</v>
      </c>
      <c r="L74" s="727">
        <f t="shared" ref="L74:L85" si="55">IFERROR(IF(K74&lt;&gt;"",IF(K74&lt;&gt;0,F74/K74*10000,""),""),0)</f>
        <v>461.90696162701335</v>
      </c>
      <c r="M74" s="730">
        <f t="shared" si="42"/>
        <v>1.7649165331840813E-2</v>
      </c>
      <c r="N74" s="729">
        <f>IFERROR(K5,0)</f>
        <v>176500.66012000002</v>
      </c>
      <c r="O74" s="731">
        <f t="shared" ref="O74:O85" si="56">IFERROR(IF(N74&lt;&gt;"",IF(N74&lt;&gt;0,F74/N74*10000,""),""),0)</f>
        <v>461.90696162701335</v>
      </c>
      <c r="P74" s="732">
        <f t="shared" si="43"/>
        <v>1.668894673498713E-2</v>
      </c>
      <c r="Q74" s="766"/>
      <c r="R74" s="768"/>
      <c r="S74" s="768"/>
      <c r="T74" s="768"/>
      <c r="U74" s="768"/>
      <c r="V74" s="768"/>
      <c r="W74" s="768"/>
      <c r="X74" s="768"/>
      <c r="Y74" s="768"/>
      <c r="Z74" s="768"/>
      <c r="AA74" s="768"/>
      <c r="AB74" s="768"/>
      <c r="AC74" s="768"/>
      <c r="AD74" s="767"/>
      <c r="AE74" s="768"/>
      <c r="AF74" s="768"/>
      <c r="AG74" s="778">
        <f>IFERROR(AG75+AG76,0)</f>
        <v>0</v>
      </c>
      <c r="AH74" s="778">
        <f t="shared" ref="AH74:AV74" si="57">IFERROR(AH75+AH76,0)</f>
        <v>0</v>
      </c>
      <c r="AI74" s="778">
        <f t="shared" si="57"/>
        <v>721.47159735192668</v>
      </c>
      <c r="AJ74" s="778">
        <f t="shared" si="57"/>
        <v>601.2263311266056</v>
      </c>
      <c r="AK74" s="778">
        <f t="shared" si="57"/>
        <v>781.5942304645871</v>
      </c>
      <c r="AL74" s="778">
        <f t="shared" si="57"/>
        <v>4568.7510056807341</v>
      </c>
      <c r="AM74" s="778">
        <f t="shared" si="57"/>
        <v>1492.2025470825686</v>
      </c>
      <c r="AN74" s="778">
        <f t="shared" si="57"/>
        <v>-2516.3014822177206</v>
      </c>
      <c r="AO74" s="778">
        <f t="shared" si="57"/>
        <v>1936.2746000146785</v>
      </c>
      <c r="AP74" s="778">
        <f t="shared" si="57"/>
        <v>-1465.7927969876202</v>
      </c>
      <c r="AQ74" s="778">
        <f t="shared" si="57"/>
        <v>792.961328587156</v>
      </c>
      <c r="AR74" s="778">
        <f t="shared" si="57"/>
        <v>-1531.2113911166527</v>
      </c>
      <c r="AS74" s="778">
        <f t="shared" si="57"/>
        <v>0</v>
      </c>
      <c r="AT74" s="778">
        <f t="shared" si="57"/>
        <v>0</v>
      </c>
      <c r="AU74" s="778">
        <f t="shared" si="57"/>
        <v>0</v>
      </c>
      <c r="AV74" s="778">
        <f t="shared" si="57"/>
        <v>2771.5123941328752</v>
      </c>
    </row>
    <row r="75" spans="1:48" ht="18" hidden="1" customHeight="1">
      <c r="A75" s="697" t="s">
        <v>606</v>
      </c>
      <c r="B75" s="698"/>
      <c r="C75" s="698"/>
      <c r="D75" s="611">
        <v>1</v>
      </c>
      <c r="E75" s="612" t="s">
        <v>413</v>
      </c>
      <c r="F75" s="622">
        <f>增值税</f>
        <v>7279.186039392087</v>
      </c>
      <c r="G75" s="611"/>
      <c r="H75" s="615">
        <f>IFERROR(F75-(I85-I84),0)</f>
        <v>0</v>
      </c>
      <c r="I75" s="649"/>
      <c r="J75" s="734"/>
      <c r="K75" s="651">
        <f>IFERROR(K74,0)</f>
        <v>176500.66012000002</v>
      </c>
      <c r="L75" s="649">
        <f t="shared" si="55"/>
        <v>412.4169300241191</v>
      </c>
      <c r="M75" s="652">
        <f t="shared" si="42"/>
        <v>1.5758183332000728E-2</v>
      </c>
      <c r="N75" s="651">
        <f t="shared" ref="N75:N85" si="58">IFERROR(N74,0)</f>
        <v>176500.66012000002</v>
      </c>
      <c r="O75" s="653">
        <f t="shared" si="56"/>
        <v>412.4169300241191</v>
      </c>
      <c r="P75" s="654"/>
      <c r="Q75" s="672"/>
      <c r="R75" s="769"/>
      <c r="S75" s="673"/>
      <c r="T75" s="673"/>
      <c r="U75" s="769"/>
      <c r="V75" s="673"/>
      <c r="W75" s="673"/>
      <c r="X75" s="769"/>
      <c r="Y75" s="673"/>
      <c r="Z75" s="673"/>
      <c r="AA75" s="769"/>
      <c r="AB75" s="769"/>
      <c r="AC75" s="673"/>
      <c r="AD75" s="673"/>
      <c r="AE75" s="673"/>
      <c r="AF75" s="673"/>
      <c r="AG75" s="400">
        <f>IFERROR(收入测算!H91,0)</f>
        <v>0</v>
      </c>
      <c r="AH75" s="400">
        <f>IFERROR(收入测算!I91,0)</f>
        <v>0</v>
      </c>
      <c r="AI75" s="400">
        <f>IFERROR(收入测算!J91,0)</f>
        <v>644.17106906422021</v>
      </c>
      <c r="AJ75" s="400">
        <f>IFERROR(收入测算!K91,0)</f>
        <v>536.80922422018352</v>
      </c>
      <c r="AK75" s="400">
        <f>IFERROR(收入测算!L91,0)</f>
        <v>697.85199148623849</v>
      </c>
      <c r="AL75" s="400">
        <f>IFERROR(收入测算!M91,0)</f>
        <v>4079.2419693577981</v>
      </c>
      <c r="AM75" s="400">
        <f>IFERROR(收入测算!N91,0)</f>
        <v>1332.3237027522935</v>
      </c>
      <c r="AN75" s="400">
        <f>IFERROR(收入测算!O91,0)</f>
        <v>-2246.6977519801076</v>
      </c>
      <c r="AO75" s="400">
        <f>IFERROR(收入测算!P91,0)</f>
        <v>1728.8166071559631</v>
      </c>
      <c r="AP75" s="400">
        <f>IFERROR(收入测算!Q91,0)</f>
        <v>-1308.7435687389466</v>
      </c>
      <c r="AQ75" s="400">
        <f>IFERROR(收入测算!R91,0)</f>
        <v>708.00118623853211</v>
      </c>
      <c r="AR75" s="400">
        <f>IFERROR(收入测算!S91,0)</f>
        <v>-1367.1530277827258</v>
      </c>
      <c r="AS75" s="400">
        <f>IFERROR(收入测算!T91,0)</f>
        <v>0</v>
      </c>
      <c r="AT75" s="400">
        <f>IFERROR(收入测算!U91,0)</f>
        <v>0</v>
      </c>
      <c r="AU75" s="400">
        <f>IFERROR(收入测算!V91,0)</f>
        <v>0</v>
      </c>
      <c r="AV75" s="400">
        <f>IFERROR(收入测算!W91,0)</f>
        <v>2474.5646376186387</v>
      </c>
    </row>
    <row r="76" spans="1:48" ht="18" hidden="1" customHeight="1">
      <c r="A76" s="699" t="s">
        <v>607</v>
      </c>
      <c r="B76" s="696"/>
      <c r="C76" s="696"/>
      <c r="D76" s="616">
        <v>2</v>
      </c>
      <c r="E76" s="617" t="s">
        <v>608</v>
      </c>
      <c r="F76" s="631">
        <f>IFERROR(F75*G76,0)</f>
        <v>873.50232472705045</v>
      </c>
      <c r="G76" s="623">
        <v>0.12</v>
      </c>
      <c r="H76" s="620">
        <f t="shared" ref="H76:H83" si="59">IFERROR(F76-I76,0)</f>
        <v>873.50232472705045</v>
      </c>
      <c r="I76" s="655"/>
      <c r="J76" s="735"/>
      <c r="K76" s="656">
        <f>IFERROR(K75,0)</f>
        <v>176500.66012000002</v>
      </c>
      <c r="L76" s="655">
        <f t="shared" si="55"/>
        <v>49.490031602894291</v>
      </c>
      <c r="M76" s="657">
        <f t="shared" si="42"/>
        <v>1.8909819998400874E-3</v>
      </c>
      <c r="N76" s="656">
        <f t="shared" si="58"/>
        <v>176500.66012000002</v>
      </c>
      <c r="O76" s="658">
        <f t="shared" si="56"/>
        <v>49.490031602894291</v>
      </c>
      <c r="P76" s="659"/>
      <c r="Q76" s="674"/>
      <c r="R76" s="770"/>
      <c r="S76" s="770"/>
      <c r="T76" s="770"/>
      <c r="U76" s="770"/>
      <c r="V76" s="770"/>
      <c r="W76" s="770"/>
      <c r="X76" s="770"/>
      <c r="Y76" s="770"/>
      <c r="Z76" s="770"/>
      <c r="AA76" s="770"/>
      <c r="AB76" s="770"/>
      <c r="AC76" s="770"/>
      <c r="AD76" s="675"/>
      <c r="AE76" s="770"/>
      <c r="AF76" s="770"/>
      <c r="AG76" s="397">
        <f>IFERROR(AG75*$G76,0)</f>
        <v>0</v>
      </c>
      <c r="AH76" s="397">
        <f t="shared" ref="AH76:AV76" si="60">IFERROR(AH75*$G76,0)</f>
        <v>0</v>
      </c>
      <c r="AI76" s="397">
        <f t="shared" si="60"/>
        <v>77.300528287706427</v>
      </c>
      <c r="AJ76" s="397">
        <f t="shared" si="60"/>
        <v>64.417106906422021</v>
      </c>
      <c r="AK76" s="397">
        <f t="shared" si="60"/>
        <v>83.74223897834861</v>
      </c>
      <c r="AL76" s="397">
        <f t="shared" si="60"/>
        <v>489.50903632293574</v>
      </c>
      <c r="AM76" s="397">
        <f t="shared" si="60"/>
        <v>159.8788443302752</v>
      </c>
      <c r="AN76" s="397">
        <f t="shared" si="60"/>
        <v>-269.60373023761292</v>
      </c>
      <c r="AO76" s="397">
        <f t="shared" si="60"/>
        <v>207.45799285871556</v>
      </c>
      <c r="AP76" s="397">
        <f t="shared" si="60"/>
        <v>-157.04922824867359</v>
      </c>
      <c r="AQ76" s="397">
        <f t="shared" si="60"/>
        <v>84.960142348623847</v>
      </c>
      <c r="AR76" s="397">
        <f t="shared" si="60"/>
        <v>-164.05836333392708</v>
      </c>
      <c r="AS76" s="397">
        <f t="shared" si="60"/>
        <v>0</v>
      </c>
      <c r="AT76" s="397">
        <f t="shared" si="60"/>
        <v>0</v>
      </c>
      <c r="AU76" s="397">
        <f t="shared" si="60"/>
        <v>0</v>
      </c>
      <c r="AV76" s="397">
        <f t="shared" si="60"/>
        <v>296.94775651423663</v>
      </c>
    </row>
    <row r="77" spans="1:48" ht="18" customHeight="1">
      <c r="A77" s="697" t="s">
        <v>609</v>
      </c>
      <c r="B77" s="698"/>
      <c r="C77" s="698"/>
      <c r="D77" s="689" t="s">
        <v>416</v>
      </c>
      <c r="E77" s="690" t="s">
        <v>610</v>
      </c>
      <c r="F77" s="691">
        <f>IFERROR(SUM(F78:F82),0)</f>
        <v>951.712453571276</v>
      </c>
      <c r="G77" s="700"/>
      <c r="H77" s="692">
        <f t="shared" si="59"/>
        <v>951.712453571276</v>
      </c>
      <c r="I77" s="727"/>
      <c r="J77" s="733"/>
      <c r="K77" s="729">
        <f>总建筑面积</f>
        <v>176500.66012000002</v>
      </c>
      <c r="L77" s="727">
        <f t="shared" si="55"/>
        <v>53.921183803177939</v>
      </c>
      <c r="M77" s="730">
        <f t="shared" si="42"/>
        <v>2.0602934506090569E-3</v>
      </c>
      <c r="N77" s="729">
        <f t="shared" si="58"/>
        <v>176500.66012000002</v>
      </c>
      <c r="O77" s="731">
        <f t="shared" si="56"/>
        <v>53.921183803177939</v>
      </c>
      <c r="P77" s="732">
        <f>IFERROR(F77/总销售收入,0)</f>
        <v>1.9482013460220167E-3</v>
      </c>
      <c r="Q77" s="766"/>
      <c r="R77" s="767"/>
      <c r="S77" s="767"/>
      <c r="T77" s="767"/>
      <c r="U77" s="767"/>
      <c r="V77" s="767"/>
      <c r="W77" s="767"/>
      <c r="X77" s="767"/>
      <c r="Y77" s="767"/>
      <c r="Z77" s="767"/>
      <c r="AA77" s="767"/>
      <c r="AB77" s="767"/>
      <c r="AC77" s="767"/>
      <c r="AD77" s="767"/>
      <c r="AE77" s="767"/>
      <c r="AF77" s="767"/>
      <c r="AG77" s="778">
        <f>IFERROR(SUM(AG78:AG82),0)</f>
        <v>440.14637999999997</v>
      </c>
      <c r="AH77" s="778">
        <f t="shared" ref="AH77:AV77" si="61">IFERROR(SUM(AH78:AH82),0)</f>
        <v>25.402857305666664</v>
      </c>
      <c r="AI77" s="778">
        <f t="shared" si="61"/>
        <v>99.168040805666649</v>
      </c>
      <c r="AJ77" s="778">
        <f t="shared" si="61"/>
        <v>25.402857305666664</v>
      </c>
      <c r="AK77" s="778">
        <f t="shared" si="61"/>
        <v>83.439300723210096</v>
      </c>
      <c r="AL77" s="778">
        <f t="shared" si="61"/>
        <v>25.402857305666664</v>
      </c>
      <c r="AM77" s="778">
        <f t="shared" si="61"/>
        <v>66.900496946834039</v>
      </c>
      <c r="AN77" s="778">
        <f t="shared" si="61"/>
        <v>25.402857305666664</v>
      </c>
      <c r="AO77" s="778">
        <f t="shared" si="61"/>
        <v>52.41140040062146</v>
      </c>
      <c r="AP77" s="778">
        <f t="shared" si="61"/>
        <v>25.402857305666664</v>
      </c>
      <c r="AQ77" s="778">
        <f t="shared" si="61"/>
        <v>37.207361123388125</v>
      </c>
      <c r="AR77" s="778">
        <f t="shared" si="61"/>
        <v>8.1418043666666673</v>
      </c>
      <c r="AS77" s="778">
        <f t="shared" si="61"/>
        <v>12.57260668785932</v>
      </c>
      <c r="AT77" s="778">
        <f t="shared" si="61"/>
        <v>8.1418043666666673</v>
      </c>
      <c r="AU77" s="778">
        <f t="shared" si="61"/>
        <v>8.4271672553629671</v>
      </c>
      <c r="AV77" s="778">
        <f t="shared" si="61"/>
        <v>8.1418043666666673</v>
      </c>
    </row>
    <row r="78" spans="1:48" ht="18" hidden="1" customHeight="1">
      <c r="A78" s="699" t="s">
        <v>611</v>
      </c>
      <c r="B78" s="696"/>
      <c r="C78" s="696"/>
      <c r="D78" s="616">
        <v>1</v>
      </c>
      <c r="E78" s="617" t="s">
        <v>612</v>
      </c>
      <c r="F78" s="624">
        <f>IFERROR(SUM($AG78:AV78),0)</f>
        <v>290.59366218127599</v>
      </c>
      <c r="G78" s="619">
        <v>30</v>
      </c>
      <c r="H78" s="620">
        <f t="shared" si="59"/>
        <v>290.59366218127599</v>
      </c>
      <c r="I78" s="655"/>
      <c r="J78" s="660"/>
      <c r="K78" s="656">
        <f>总占地面积</f>
        <v>4.9176788999999994</v>
      </c>
      <c r="L78" s="655">
        <f t="shared" si="55"/>
        <v>590916.3003328176</v>
      </c>
      <c r="M78" s="657"/>
      <c r="N78" s="656">
        <f t="shared" si="58"/>
        <v>176500.66012000002</v>
      </c>
      <c r="O78" s="658">
        <f t="shared" si="56"/>
        <v>16.464168574990367</v>
      </c>
      <c r="P78" s="659"/>
      <c r="Q78" s="674" t="s">
        <v>613</v>
      </c>
      <c r="R78" s="675"/>
      <c r="S78" s="675"/>
      <c r="T78" s="675"/>
      <c r="U78" s="675"/>
      <c r="V78" s="675"/>
      <c r="W78" s="675"/>
      <c r="X78" s="675"/>
      <c r="Y78" s="675"/>
      <c r="Z78" s="675"/>
      <c r="AA78" s="675"/>
      <c r="AB78" s="675"/>
      <c r="AC78" s="675"/>
      <c r="AD78" s="675"/>
      <c r="AE78" s="675"/>
      <c r="AF78" s="675"/>
      <c r="AG78" s="397">
        <f>IFERROR(IF(MOD(COLUMN(),2)=1,IF(总可售面积&gt;0,(总可售面积-收入测算!H85)/总可售面积*总占地面积*$G78/2,总占地面积*$G78*2/(16-1)),0),0)</f>
        <v>73.765183499999992</v>
      </c>
      <c r="AH78" s="397">
        <f>IFERROR(IF(MOD(COLUMN(),2)=1,IF(总可售面积&gt;0,(总可售面积-收入测算!I85)/总可售面积*总占地面积*$G78/2,总占地面积*$G78*2/(16-1)),0),0)</f>
        <v>0</v>
      </c>
      <c r="AI78" s="397">
        <f>IFERROR(IF(MOD(COLUMN(),2)=1,IF(总可售面积&gt;0,(总可售面积-收入测算!J85)/总可售面积*总占地面积*$G78/2,总占地面积*$G78*2/(16-1)),0),0)</f>
        <v>73.765183499999992</v>
      </c>
      <c r="AJ78" s="397">
        <f>IFERROR(IF(MOD(COLUMN(),2)=1,IF(总可售面积&gt;0,(总可售面积-收入测算!K85)/总可售面积*总占地面积*$G78/2,总占地面积*$G78*2/(16-1)),0),0)</f>
        <v>0</v>
      </c>
      <c r="AK78" s="397">
        <f>IFERROR(IF(MOD(COLUMN(),2)=1,IF(总可售面积&gt;0,(总可售面积-收入测算!L85)/总可售面积*总占地面积*$G78/2,总占地面积*$G78*2/(16-1)),0),0)</f>
        <v>58.036443417543431</v>
      </c>
      <c r="AL78" s="397">
        <f>IFERROR(IF(MOD(COLUMN(),2)=1,IF(总可售面积&gt;0,(总可售面积-收入测算!M85)/总可售面积*总占地面积*$G78/2,总占地面积*$G78*2/(16-1)),0),0)</f>
        <v>0</v>
      </c>
      <c r="AM78" s="397">
        <f>IFERROR(IF(MOD(COLUMN(),2)=1,IF(总可售面积&gt;0,(总可售面积-收入测算!N85)/总可售面积*总占地面积*$G78/2,总占地面积*$G78*2/(16-1)),0),0)</f>
        <v>41.497639641167375</v>
      </c>
      <c r="AN78" s="397">
        <f>IFERROR(IF(MOD(COLUMN(),2)=1,IF(总可售面积&gt;0,(总可售面积-收入测算!O85)/总可售面积*总占地面积*$G78/2,总占地面积*$G78*2/(16-1)),0),0)</f>
        <v>0</v>
      </c>
      <c r="AO78" s="397">
        <f>IFERROR(IF(MOD(COLUMN(),2)=1,IF(总可售面积&gt;0,(总可售面积-收入测算!P85)/总可售面积*总占地面积*$G78/2,总占地面积*$G78*2/(16-1)),0),0)</f>
        <v>27.008543094954799</v>
      </c>
      <c r="AP78" s="397">
        <f>IFERROR(IF(MOD(COLUMN(),2)=1,IF(总可售面积&gt;0,(总可售面积-收入测算!Q85)/总可售面积*总占地面积*$G78/2,总占地面积*$G78*2/(16-1)),0),0)</f>
        <v>0</v>
      </c>
      <c r="AQ78" s="397">
        <f>IFERROR(IF(MOD(COLUMN(),2)=1,IF(总可售面积&gt;0,(总可售面积-收入测算!R85)/总可售面积*总占地面积*$G78/2,总占地面积*$G78*2/(16-1)),0),0)</f>
        <v>11.804503817721463</v>
      </c>
      <c r="AR78" s="397">
        <f>IFERROR(IF(MOD(COLUMN(),2)=1,IF(总可售面积&gt;0,(总可售面积-收入测算!S85)/总可售面积*总占地面积*$G78/2,总占地面积*$G78*2/(16-1)),0),0)</f>
        <v>0</v>
      </c>
      <c r="AS78" s="397">
        <f>IFERROR(IF(MOD(COLUMN(),2)=1,IF(总可售面积&gt;0,(总可售面积-收入测算!T85)/总可售面积*总占地面积*$G78/2,总占地面积*$G78*2/(16-1)),0),0)</f>
        <v>4.4308023211926528</v>
      </c>
      <c r="AT78" s="397">
        <f>IFERROR(IF(MOD(COLUMN(),2)=1,IF(总可售面积&gt;0,(总可售面积-收入测算!U85)/总可售面积*总占地面积*$G78/2,总占地面积*$G78*2/(16-1)),0),0)</f>
        <v>0</v>
      </c>
      <c r="AU78" s="397">
        <f>IFERROR(IF(MOD(COLUMN(),2)=1,IF(总可售面积&gt;0,(总可售面积-收入测算!V85)/总可售面积*总占地面积*$G78/2,总占地面积*$G78*2/(16-1)),0),0)</f>
        <v>0.28536288869629961</v>
      </c>
      <c r="AV78" s="397">
        <f>IFERROR(IF(MOD(COLUMN(),2)=1,IF(总可售面积&gt;0,(总可售面积-收入测算!W85)/总可售面积*总占地面积*$G78/2,总占地面积*$G78*2/(16-1)),0),0)</f>
        <v>0</v>
      </c>
    </row>
    <row r="79" spans="1:48" ht="18" hidden="1" customHeight="1">
      <c r="A79" s="699" t="s">
        <v>614</v>
      </c>
      <c r="B79" s="698"/>
      <c r="C79" s="698"/>
      <c r="D79" s="611">
        <v>2</v>
      </c>
      <c r="E79" s="612" t="s">
        <v>615</v>
      </c>
      <c r="F79" s="613">
        <f>IFERROR(总销售收入*G79,0)</f>
        <v>488.508262</v>
      </c>
      <c r="G79" s="693">
        <v>1E-3</v>
      </c>
      <c r="H79" s="615">
        <f t="shared" si="59"/>
        <v>488.508262</v>
      </c>
      <c r="I79" s="649"/>
      <c r="J79" s="660"/>
      <c r="K79" s="651">
        <f>IFERROR(K77,0)</f>
        <v>176500.66012000002</v>
      </c>
      <c r="L79" s="649">
        <f t="shared" si="55"/>
        <v>27.677418411232622</v>
      </c>
      <c r="M79" s="652"/>
      <c r="N79" s="651">
        <f t="shared" si="58"/>
        <v>176500.66012000002</v>
      </c>
      <c r="O79" s="653">
        <f t="shared" si="56"/>
        <v>27.677418411232622</v>
      </c>
      <c r="P79" s="654"/>
      <c r="Q79" s="672"/>
      <c r="R79" s="673"/>
      <c r="S79" s="673"/>
      <c r="T79" s="673"/>
      <c r="U79" s="673"/>
      <c r="V79" s="673"/>
      <c r="W79" s="673"/>
      <c r="X79" s="673"/>
      <c r="Y79" s="673"/>
      <c r="Z79" s="673"/>
      <c r="AA79" s="673"/>
      <c r="AB79" s="673"/>
      <c r="AC79" s="673"/>
      <c r="AD79" s="673"/>
      <c r="AE79" s="673"/>
      <c r="AF79" s="673"/>
      <c r="AG79" s="400">
        <f>IFERROR(IF(COLUMN()=33,$F79*75%,($F79*25%)/(16-1)),0)</f>
        <v>366.38119649999999</v>
      </c>
      <c r="AH79" s="400">
        <f t="shared" ref="AH79:AV79" si="62">IFERROR(IF(COLUMN()=33,$F79*75%,($F79*25%)/(16-1)),0)</f>
        <v>8.1418043666666673</v>
      </c>
      <c r="AI79" s="400">
        <f t="shared" si="62"/>
        <v>8.1418043666666673</v>
      </c>
      <c r="AJ79" s="400">
        <f t="shared" si="62"/>
        <v>8.1418043666666673</v>
      </c>
      <c r="AK79" s="400">
        <f t="shared" si="62"/>
        <v>8.1418043666666673</v>
      </c>
      <c r="AL79" s="400">
        <f t="shared" si="62"/>
        <v>8.1418043666666673</v>
      </c>
      <c r="AM79" s="400">
        <f t="shared" si="62"/>
        <v>8.1418043666666673</v>
      </c>
      <c r="AN79" s="400">
        <f t="shared" si="62"/>
        <v>8.1418043666666673</v>
      </c>
      <c r="AO79" s="400">
        <f t="shared" si="62"/>
        <v>8.1418043666666673</v>
      </c>
      <c r="AP79" s="400">
        <f t="shared" si="62"/>
        <v>8.1418043666666673</v>
      </c>
      <c r="AQ79" s="400">
        <f t="shared" si="62"/>
        <v>8.1418043666666673</v>
      </c>
      <c r="AR79" s="400">
        <f t="shared" si="62"/>
        <v>8.1418043666666673</v>
      </c>
      <c r="AS79" s="400">
        <f t="shared" si="62"/>
        <v>8.1418043666666673</v>
      </c>
      <c r="AT79" s="400">
        <f t="shared" si="62"/>
        <v>8.1418043666666673</v>
      </c>
      <c r="AU79" s="400">
        <f t="shared" si="62"/>
        <v>8.1418043666666673</v>
      </c>
      <c r="AV79" s="400">
        <f t="shared" si="62"/>
        <v>8.1418043666666673</v>
      </c>
    </row>
    <row r="80" spans="1:48" ht="18" hidden="1" customHeight="1">
      <c r="A80" s="699" t="s">
        <v>616</v>
      </c>
      <c r="B80" s="696"/>
      <c r="C80" s="696"/>
      <c r="D80" s="616">
        <v>3</v>
      </c>
      <c r="E80" s="617" t="s">
        <v>617</v>
      </c>
      <c r="F80" s="624">
        <f>IFERROR(SUM($AG80:AV80),0)</f>
        <v>172.61052938999998</v>
      </c>
      <c r="G80" s="614">
        <v>12</v>
      </c>
      <c r="H80" s="620">
        <f t="shared" si="59"/>
        <v>172.61052938999998</v>
      </c>
      <c r="I80" s="655"/>
      <c r="J80" s="660"/>
      <c r="K80" s="656">
        <f>总占地面积</f>
        <v>4.9176788999999994</v>
      </c>
      <c r="L80" s="655">
        <f t="shared" si="55"/>
        <v>351000</v>
      </c>
      <c r="M80" s="657"/>
      <c r="N80" s="656">
        <f t="shared" si="58"/>
        <v>176500.66012000002</v>
      </c>
      <c r="O80" s="658">
        <f t="shared" si="56"/>
        <v>9.7795968169549496</v>
      </c>
      <c r="P80" s="659"/>
      <c r="Q80" s="674" t="s">
        <v>618</v>
      </c>
      <c r="R80" s="675"/>
      <c r="S80" s="675"/>
      <c r="T80" s="675"/>
      <c r="U80" s="675"/>
      <c r="V80" s="675"/>
      <c r="W80" s="675"/>
      <c r="X80" s="675"/>
      <c r="Y80" s="675"/>
      <c r="Z80" s="675"/>
      <c r="AA80" s="675"/>
      <c r="AB80" s="675"/>
      <c r="AC80" s="675"/>
      <c r="AD80" s="675"/>
      <c r="AE80" s="675"/>
      <c r="AF80" s="675"/>
      <c r="AG80" s="655">
        <f t="shared" ref="AG80:AV80" si="63">IFERROR(IF(COLUMN()&gt;=34,IF(COLUMN()&lt;=34+1,总占地面积*$G80*3*0.065*1.5*1,IF(COLUMN()&lt;44,总占地面积*$G80*3*0.065*1.5*1,0)),0),0)</f>
        <v>0</v>
      </c>
      <c r="AH80" s="655">
        <f t="shared" si="63"/>
        <v>17.261052938999999</v>
      </c>
      <c r="AI80" s="655">
        <f t="shared" si="63"/>
        <v>17.261052938999999</v>
      </c>
      <c r="AJ80" s="655">
        <f t="shared" si="63"/>
        <v>17.261052938999999</v>
      </c>
      <c r="AK80" s="655">
        <f t="shared" si="63"/>
        <v>17.261052938999999</v>
      </c>
      <c r="AL80" s="655">
        <f t="shared" si="63"/>
        <v>17.261052938999999</v>
      </c>
      <c r="AM80" s="655">
        <f t="shared" si="63"/>
        <v>17.261052938999999</v>
      </c>
      <c r="AN80" s="655">
        <f t="shared" si="63"/>
        <v>17.261052938999999</v>
      </c>
      <c r="AO80" s="655">
        <f t="shared" si="63"/>
        <v>17.261052938999999</v>
      </c>
      <c r="AP80" s="655">
        <f t="shared" si="63"/>
        <v>17.261052938999999</v>
      </c>
      <c r="AQ80" s="655">
        <f t="shared" si="63"/>
        <v>17.261052938999999</v>
      </c>
      <c r="AR80" s="655">
        <f t="shared" si="63"/>
        <v>0</v>
      </c>
      <c r="AS80" s="655">
        <f t="shared" si="63"/>
        <v>0</v>
      </c>
      <c r="AT80" s="655">
        <f t="shared" si="63"/>
        <v>0</v>
      </c>
      <c r="AU80" s="655">
        <f t="shared" si="63"/>
        <v>0</v>
      </c>
      <c r="AV80" s="655">
        <f t="shared" si="63"/>
        <v>0</v>
      </c>
    </row>
    <row r="81" spans="1:48" ht="18" hidden="1" customHeight="1">
      <c r="A81" s="699" t="s">
        <v>619</v>
      </c>
      <c r="B81" s="698"/>
      <c r="C81" s="698"/>
      <c r="D81" s="611">
        <v>4</v>
      </c>
      <c r="E81" s="612" t="s">
        <v>620</v>
      </c>
      <c r="F81" s="613">
        <f>IFERROR(G81*K81/10000,0)</f>
        <v>0</v>
      </c>
      <c r="G81" s="614">
        <v>0</v>
      </c>
      <c r="H81" s="615">
        <f t="shared" si="59"/>
        <v>0</v>
      </c>
      <c r="I81" s="649"/>
      <c r="J81" s="660"/>
      <c r="K81" s="651">
        <f>IFERROR(K77,0)</f>
        <v>176500.66012000002</v>
      </c>
      <c r="L81" s="649">
        <f t="shared" si="55"/>
        <v>0</v>
      </c>
      <c r="M81" s="652"/>
      <c r="N81" s="651">
        <f t="shared" si="58"/>
        <v>176500.66012000002</v>
      </c>
      <c r="O81" s="653">
        <f t="shared" si="56"/>
        <v>0</v>
      </c>
      <c r="P81" s="654"/>
      <c r="Q81" s="672"/>
      <c r="R81" s="673"/>
      <c r="S81" s="673"/>
      <c r="T81" s="673"/>
      <c r="U81" s="673"/>
      <c r="V81" s="673"/>
      <c r="W81" s="673"/>
      <c r="X81" s="673"/>
      <c r="Y81" s="673"/>
      <c r="Z81" s="673"/>
      <c r="AA81" s="673"/>
      <c r="AB81" s="673"/>
      <c r="AC81" s="673"/>
      <c r="AD81" s="673"/>
      <c r="AE81" s="673"/>
      <c r="AF81" s="673"/>
      <c r="AG81" s="649">
        <f>IFERROR($F81/16,0)</f>
        <v>0</v>
      </c>
      <c r="AH81" s="649">
        <f t="shared" ref="AH81:AV82" si="64">IFERROR($F81/16,0)</f>
        <v>0</v>
      </c>
      <c r="AI81" s="649">
        <f t="shared" si="64"/>
        <v>0</v>
      </c>
      <c r="AJ81" s="649">
        <f t="shared" si="64"/>
        <v>0</v>
      </c>
      <c r="AK81" s="649">
        <f t="shared" si="64"/>
        <v>0</v>
      </c>
      <c r="AL81" s="649">
        <f t="shared" si="64"/>
        <v>0</v>
      </c>
      <c r="AM81" s="649">
        <f t="shared" si="64"/>
        <v>0</v>
      </c>
      <c r="AN81" s="649">
        <f t="shared" si="64"/>
        <v>0</v>
      </c>
      <c r="AO81" s="649">
        <f t="shared" si="64"/>
        <v>0</v>
      </c>
      <c r="AP81" s="649">
        <f t="shared" si="64"/>
        <v>0</v>
      </c>
      <c r="AQ81" s="649">
        <f t="shared" si="64"/>
        <v>0</v>
      </c>
      <c r="AR81" s="649">
        <f t="shared" si="64"/>
        <v>0</v>
      </c>
      <c r="AS81" s="649">
        <f t="shared" si="64"/>
        <v>0</v>
      </c>
      <c r="AT81" s="649">
        <f t="shared" si="64"/>
        <v>0</v>
      </c>
      <c r="AU81" s="649">
        <f t="shared" si="64"/>
        <v>0</v>
      </c>
      <c r="AV81" s="649">
        <f t="shared" si="64"/>
        <v>0</v>
      </c>
    </row>
    <row r="82" spans="1:48" ht="18" hidden="1" customHeight="1">
      <c r="A82" s="699" t="s">
        <v>621</v>
      </c>
      <c r="B82" s="696"/>
      <c r="C82" s="696"/>
      <c r="D82" s="616">
        <v>5</v>
      </c>
      <c r="E82" s="617" t="s">
        <v>567</v>
      </c>
      <c r="F82" s="624">
        <f>IFERROR(G82*K82/10000,0)</f>
        <v>0</v>
      </c>
      <c r="G82" s="614">
        <v>0</v>
      </c>
      <c r="H82" s="620">
        <f t="shared" si="59"/>
        <v>0</v>
      </c>
      <c r="I82" s="655"/>
      <c r="J82" s="660"/>
      <c r="K82" s="656">
        <f>IFERROR(K77,0)</f>
        <v>176500.66012000002</v>
      </c>
      <c r="L82" s="655">
        <f t="shared" si="55"/>
        <v>0</v>
      </c>
      <c r="M82" s="657"/>
      <c r="N82" s="656">
        <f t="shared" si="58"/>
        <v>176500.66012000002</v>
      </c>
      <c r="O82" s="658">
        <f t="shared" si="56"/>
        <v>0</v>
      </c>
      <c r="P82" s="659"/>
      <c r="Q82" s="674"/>
      <c r="R82" s="675"/>
      <c r="S82" s="675"/>
      <c r="T82" s="675"/>
      <c r="U82" s="675"/>
      <c r="V82" s="675"/>
      <c r="W82" s="675"/>
      <c r="X82" s="675"/>
      <c r="Y82" s="675"/>
      <c r="Z82" s="675"/>
      <c r="AA82" s="675"/>
      <c r="AB82" s="675"/>
      <c r="AC82" s="675"/>
      <c r="AD82" s="675"/>
      <c r="AE82" s="675"/>
      <c r="AF82" s="675"/>
      <c r="AG82" s="655">
        <f>IFERROR($F82/16,0)</f>
        <v>0</v>
      </c>
      <c r="AH82" s="655">
        <f t="shared" si="64"/>
        <v>0</v>
      </c>
      <c r="AI82" s="655">
        <f t="shared" si="64"/>
        <v>0</v>
      </c>
      <c r="AJ82" s="655">
        <f t="shared" si="64"/>
        <v>0</v>
      </c>
      <c r="AK82" s="655">
        <f t="shared" si="64"/>
        <v>0</v>
      </c>
      <c r="AL82" s="655">
        <f t="shared" si="64"/>
        <v>0</v>
      </c>
      <c r="AM82" s="655">
        <f t="shared" si="64"/>
        <v>0</v>
      </c>
      <c r="AN82" s="655">
        <f t="shared" si="64"/>
        <v>0</v>
      </c>
      <c r="AO82" s="655">
        <f t="shared" si="64"/>
        <v>0</v>
      </c>
      <c r="AP82" s="655">
        <f t="shared" si="64"/>
        <v>0</v>
      </c>
      <c r="AQ82" s="655">
        <f t="shared" si="64"/>
        <v>0</v>
      </c>
      <c r="AR82" s="655">
        <f t="shared" si="64"/>
        <v>0</v>
      </c>
      <c r="AS82" s="655">
        <f t="shared" si="64"/>
        <v>0</v>
      </c>
      <c r="AT82" s="655">
        <f t="shared" si="64"/>
        <v>0</v>
      </c>
      <c r="AU82" s="655">
        <f t="shared" si="64"/>
        <v>0</v>
      </c>
      <c r="AV82" s="655">
        <f t="shared" si="64"/>
        <v>0</v>
      </c>
    </row>
    <row r="83" spans="1:48" ht="18" customHeight="1">
      <c r="A83" s="697" t="s">
        <v>622</v>
      </c>
      <c r="B83" s="698" t="s">
        <v>548</v>
      </c>
      <c r="C83" s="698" t="s">
        <v>623</v>
      </c>
      <c r="D83" s="689" t="s">
        <v>624</v>
      </c>
      <c r="E83" s="690" t="s">
        <v>625</v>
      </c>
      <c r="F83" s="691">
        <f>土增税</f>
        <v>0</v>
      </c>
      <c r="G83" s="701">
        <v>0.03</v>
      </c>
      <c r="H83" s="692">
        <f t="shared" si="59"/>
        <v>0</v>
      </c>
      <c r="I83" s="736"/>
      <c r="J83" s="737">
        <f>IFERROR(J85,0)</f>
        <v>0.09</v>
      </c>
      <c r="K83" s="729">
        <f>总建筑面积</f>
        <v>176500.66012000002</v>
      </c>
      <c r="L83" s="727">
        <f t="shared" si="55"/>
        <v>0</v>
      </c>
      <c r="M83" s="730">
        <f>IFERROR(F83/总投资,0)</f>
        <v>0</v>
      </c>
      <c r="N83" s="729">
        <f t="shared" si="58"/>
        <v>176500.66012000002</v>
      </c>
      <c r="O83" s="731">
        <f t="shared" si="56"/>
        <v>0</v>
      </c>
      <c r="P83" s="732">
        <f>IFERROR(F83/总销售收入,0)</f>
        <v>0</v>
      </c>
      <c r="Q83" s="771"/>
      <c r="R83" s="767"/>
      <c r="S83" s="767"/>
      <c r="T83" s="767"/>
      <c r="U83" s="767"/>
      <c r="V83" s="767"/>
      <c r="W83" s="767"/>
      <c r="X83" s="767"/>
      <c r="Y83" s="767"/>
      <c r="Z83" s="767"/>
      <c r="AA83" s="767"/>
      <c r="AB83" s="768"/>
      <c r="AC83" s="767"/>
      <c r="AD83" s="767"/>
      <c r="AE83" s="768"/>
      <c r="AF83" s="767"/>
      <c r="AG83" s="778"/>
      <c r="AH83" s="778"/>
      <c r="AI83" s="778"/>
      <c r="AJ83" s="778"/>
      <c r="AK83" s="778"/>
      <c r="AL83" s="778"/>
      <c r="AM83" s="778"/>
      <c r="AN83" s="778"/>
      <c r="AO83" s="778"/>
      <c r="AP83" s="778"/>
      <c r="AQ83" s="778"/>
      <c r="AR83" s="778"/>
      <c r="AS83" s="778"/>
      <c r="AT83" s="778"/>
      <c r="AU83" s="778"/>
      <c r="AV83" s="780"/>
    </row>
    <row r="84" spans="1:48" ht="18" customHeight="1">
      <c r="A84" s="695" t="s">
        <v>626</v>
      </c>
      <c r="B84" s="696"/>
      <c r="C84" s="1199" t="s">
        <v>627</v>
      </c>
      <c r="D84" s="1162"/>
      <c r="E84" s="1163"/>
      <c r="F84" s="703">
        <f>总投资</f>
        <v>461930.53387124732</v>
      </c>
      <c r="G84" s="704"/>
      <c r="H84" s="705">
        <f>IFERROR(H$5+H68+H74+H77+H83,0)</f>
        <v>421594.98930244002</v>
      </c>
      <c r="I84" s="738">
        <f>IFERROR(I$5+I68,0)</f>
        <v>33056.358529415251</v>
      </c>
      <c r="J84" s="739"/>
      <c r="K84" s="656">
        <f>IFERROR(K83,0)</f>
        <v>176500.66012000002</v>
      </c>
      <c r="L84" s="655">
        <f t="shared" si="55"/>
        <v>26171.603752483872</v>
      </c>
      <c r="M84" s="657">
        <f>IFERROR(F84/总投资,0)</f>
        <v>1</v>
      </c>
      <c r="N84" s="656">
        <f t="shared" si="58"/>
        <v>176500.66012000002</v>
      </c>
      <c r="O84" s="658">
        <f t="shared" si="56"/>
        <v>26171.603752483872</v>
      </c>
      <c r="P84" s="659">
        <f>IFERROR(F84/总销售收入,0)</f>
        <v>0.94559410721132764</v>
      </c>
      <c r="Q84" s="772"/>
      <c r="R84" s="770"/>
      <c r="S84" s="770"/>
      <c r="T84" s="770"/>
      <c r="U84" s="770"/>
      <c r="V84" s="770"/>
      <c r="W84" s="770"/>
      <c r="X84" s="770"/>
      <c r="Y84" s="770"/>
      <c r="Z84" s="770"/>
      <c r="AA84" s="770"/>
      <c r="AB84" s="770"/>
      <c r="AC84" s="770"/>
      <c r="AD84" s="770"/>
      <c r="AE84" s="770"/>
      <c r="AF84" s="770"/>
      <c r="AG84" s="397"/>
      <c r="AH84" s="397"/>
      <c r="AI84" s="397"/>
      <c r="AJ84" s="397"/>
      <c r="AK84" s="397"/>
      <c r="AL84" s="397"/>
      <c r="AM84" s="397"/>
      <c r="AN84" s="397"/>
      <c r="AO84" s="397"/>
      <c r="AP84" s="397"/>
      <c r="AQ84" s="397"/>
      <c r="AR84" s="397"/>
      <c r="AS84" s="397"/>
      <c r="AT84" s="397"/>
      <c r="AU84" s="397"/>
      <c r="AV84" s="395"/>
    </row>
    <row r="85" spans="1:48" ht="18" customHeight="1">
      <c r="A85" s="699" t="s">
        <v>628</v>
      </c>
      <c r="B85" s="698"/>
      <c r="C85" s="1199" t="s">
        <v>629</v>
      </c>
      <c r="D85" s="1162"/>
      <c r="E85" s="1163"/>
      <c r="F85" s="703">
        <f>总销售收入</f>
        <v>488508.26199999999</v>
      </c>
      <c r="G85" s="706"/>
      <c r="H85" s="705">
        <f>IFERROR(F85-I85,0)</f>
        <v>448172.71743119264</v>
      </c>
      <c r="I85" s="738">
        <f>IFERROR(F85/(1+J85)*J85,0)</f>
        <v>40335.544568807338</v>
      </c>
      <c r="J85" s="740">
        <v>0.09</v>
      </c>
      <c r="K85" s="651">
        <f>IFERROR(K84,0)</f>
        <v>176500.66012000002</v>
      </c>
      <c r="L85" s="649">
        <f t="shared" si="55"/>
        <v>27677.418411232622</v>
      </c>
      <c r="M85" s="652">
        <f>IFERROR(F85/总投资,0)</f>
        <v>1.0575362011816274</v>
      </c>
      <c r="N85" s="651">
        <f t="shared" si="58"/>
        <v>176500.66012000002</v>
      </c>
      <c r="O85" s="653">
        <f t="shared" si="56"/>
        <v>27677.418411232622</v>
      </c>
      <c r="P85" s="654">
        <f>IFERROR(F85/总销售收入,0)</f>
        <v>1</v>
      </c>
      <c r="Q85" s="773"/>
      <c r="R85" s="673"/>
      <c r="S85" s="673"/>
      <c r="T85" s="673"/>
      <c r="U85" s="673"/>
      <c r="V85" s="673"/>
      <c r="W85" s="673"/>
      <c r="X85" s="769"/>
      <c r="Y85" s="769"/>
      <c r="Z85" s="769"/>
      <c r="AA85" s="769"/>
      <c r="AB85" s="769"/>
      <c r="AC85" s="769"/>
      <c r="AD85" s="769"/>
      <c r="AE85" s="769"/>
      <c r="AF85" s="769"/>
      <c r="AG85" s="400"/>
      <c r="AH85" s="400"/>
      <c r="AI85" s="400"/>
      <c r="AJ85" s="400"/>
      <c r="AK85" s="400"/>
      <c r="AL85" s="400"/>
      <c r="AM85" s="400"/>
      <c r="AN85" s="400"/>
      <c r="AO85" s="400"/>
      <c r="AP85" s="400"/>
      <c r="AQ85" s="400"/>
      <c r="AR85" s="400"/>
      <c r="AS85" s="400"/>
      <c r="AT85" s="400"/>
      <c r="AU85" s="400"/>
      <c r="AV85" s="398"/>
    </row>
    <row r="86" spans="1:48" ht="18" customHeight="1">
      <c r="A86" s="695" t="s">
        <v>630</v>
      </c>
      <c r="B86" s="696"/>
      <c r="C86" s="1199" t="s">
        <v>631</v>
      </c>
      <c r="D86" s="1162"/>
      <c r="E86" s="1163"/>
      <c r="F86" s="703">
        <f>税前利润</f>
        <v>26577.728128752671</v>
      </c>
      <c r="G86" s="704"/>
      <c r="H86" s="705">
        <f>IFERROR(IF(AE86&gt;0,AE86,H85-H84),0)</f>
        <v>26577.728128752613</v>
      </c>
      <c r="I86" s="738"/>
      <c r="J86" s="739"/>
      <c r="K86" s="656"/>
      <c r="L86" s="655"/>
      <c r="M86" s="657"/>
      <c r="N86" s="656"/>
      <c r="O86" s="741"/>
      <c r="P86" s="659"/>
      <c r="Q86" s="772"/>
      <c r="R86" s="770"/>
      <c r="S86" s="770"/>
      <c r="T86" s="675"/>
      <c r="U86" s="770"/>
      <c r="V86" s="770"/>
      <c r="W86" s="675"/>
      <c r="X86" s="770"/>
      <c r="Y86" s="770"/>
      <c r="Z86" s="770"/>
      <c r="AA86" s="770"/>
      <c r="AB86" s="770"/>
      <c r="AC86" s="675"/>
      <c r="AD86" s="770"/>
      <c r="AE86" s="770"/>
      <c r="AF86" s="770"/>
      <c r="AG86" s="397"/>
      <c r="AH86" s="397"/>
      <c r="AI86" s="397"/>
      <c r="AJ86" s="397"/>
      <c r="AK86" s="397"/>
      <c r="AL86" s="397"/>
      <c r="AM86" s="397"/>
      <c r="AN86" s="397"/>
      <c r="AO86" s="397"/>
      <c r="AP86" s="397"/>
      <c r="AQ86" s="397"/>
      <c r="AR86" s="397"/>
      <c r="AS86" s="397"/>
      <c r="AT86" s="397"/>
      <c r="AU86" s="397"/>
      <c r="AV86" s="395"/>
    </row>
    <row r="87" spans="1:48" ht="18" customHeight="1">
      <c r="A87" s="699" t="s">
        <v>632</v>
      </c>
      <c r="B87" s="698" t="s">
        <v>559</v>
      </c>
      <c r="C87" s="702" t="s">
        <v>633</v>
      </c>
      <c r="D87" s="707" t="s">
        <v>634</v>
      </c>
      <c r="E87" s="708" t="s">
        <v>633</v>
      </c>
      <c r="F87" s="703">
        <f>所得税</f>
        <v>8621.5533734938399</v>
      </c>
      <c r="G87" s="693">
        <v>0.25</v>
      </c>
      <c r="H87" s="705">
        <f>IFERROR(F87,0)</f>
        <v>8621.5533734938399</v>
      </c>
      <c r="I87" s="742"/>
      <c r="J87" s="652"/>
      <c r="K87" s="651"/>
      <c r="L87" s="649"/>
      <c r="M87" s="652"/>
      <c r="N87" s="651"/>
      <c r="O87" s="743"/>
      <c r="P87" s="654"/>
      <c r="Q87" s="672"/>
      <c r="R87" s="769"/>
      <c r="S87" s="769"/>
      <c r="T87" s="673"/>
      <c r="U87" s="769"/>
      <c r="V87" s="769"/>
      <c r="W87" s="673"/>
      <c r="X87" s="769"/>
      <c r="Y87" s="769"/>
      <c r="Z87" s="769"/>
      <c r="AA87" s="769"/>
      <c r="AB87" s="769"/>
      <c r="AC87" s="673"/>
      <c r="AD87" s="769"/>
      <c r="AE87" s="769"/>
      <c r="AF87" s="769"/>
      <c r="AG87" s="400"/>
      <c r="AH87" s="400"/>
      <c r="AI87" s="400"/>
      <c r="AJ87" s="400"/>
      <c r="AK87" s="400"/>
      <c r="AL87" s="400"/>
      <c r="AM87" s="400"/>
      <c r="AN87" s="400"/>
      <c r="AO87" s="400"/>
      <c r="AP87" s="400"/>
      <c r="AQ87" s="400"/>
      <c r="AR87" s="400"/>
      <c r="AS87" s="400"/>
      <c r="AT87" s="400"/>
      <c r="AU87" s="400"/>
      <c r="AV87" s="398"/>
    </row>
    <row r="88" spans="1:48" ht="18" customHeight="1">
      <c r="A88" s="695" t="s">
        <v>635</v>
      </c>
      <c r="B88" s="696"/>
      <c r="C88" s="1199" t="s">
        <v>636</v>
      </c>
      <c r="D88" s="1162"/>
      <c r="E88" s="1163"/>
      <c r="F88" s="703">
        <f>净利润</f>
        <v>17956.174755258831</v>
      </c>
      <c r="G88" s="616"/>
      <c r="H88" s="705">
        <f>IFERROR(H86-H87,0)</f>
        <v>17956.174755258773</v>
      </c>
      <c r="I88" s="742"/>
      <c r="J88" s="436"/>
      <c r="K88" s="656"/>
      <c r="L88" s="655"/>
      <c r="M88" s="657"/>
      <c r="N88" s="656"/>
      <c r="O88" s="741"/>
      <c r="P88" s="659"/>
      <c r="Q88" s="674"/>
      <c r="R88" s="770"/>
      <c r="S88" s="770"/>
      <c r="T88" s="675"/>
      <c r="U88" s="770"/>
      <c r="V88" s="770"/>
      <c r="W88" s="675"/>
      <c r="X88" s="770"/>
      <c r="Y88" s="770"/>
      <c r="Z88" s="770"/>
      <c r="AA88" s="770"/>
      <c r="AB88" s="770"/>
      <c r="AC88" s="675"/>
      <c r="AD88" s="770"/>
      <c r="AE88" s="770"/>
      <c r="AF88" s="770"/>
      <c r="AG88" s="397"/>
      <c r="AH88" s="397"/>
      <c r="AI88" s="397"/>
      <c r="AJ88" s="397"/>
      <c r="AK88" s="397"/>
      <c r="AL88" s="397"/>
      <c r="AM88" s="397"/>
      <c r="AN88" s="397"/>
      <c r="AO88" s="397"/>
      <c r="AP88" s="397"/>
      <c r="AQ88" s="397"/>
      <c r="AR88" s="397"/>
      <c r="AS88" s="397"/>
      <c r="AT88" s="397"/>
      <c r="AU88" s="397"/>
      <c r="AV88" s="395"/>
    </row>
    <row r="89" spans="1:48" ht="18" hidden="1" customHeight="1">
      <c r="A89" s="699" t="s">
        <v>637</v>
      </c>
      <c r="B89" s="698"/>
      <c r="C89" s="1194" t="s">
        <v>638</v>
      </c>
      <c r="D89" s="1195"/>
      <c r="E89" s="1196"/>
      <c r="F89" s="710">
        <v>3.7499999999999999E-2</v>
      </c>
      <c r="G89" s="711"/>
      <c r="H89" s="711"/>
      <c r="I89" s="649"/>
      <c r="J89" s="434"/>
      <c r="K89" s="651"/>
      <c r="L89" s="649"/>
      <c r="M89" s="652"/>
      <c r="N89" s="651"/>
      <c r="O89" s="743"/>
      <c r="P89" s="654"/>
      <c r="Q89" s="672"/>
      <c r="R89" s="673"/>
      <c r="S89" s="673"/>
      <c r="T89" s="673"/>
      <c r="U89" s="673"/>
      <c r="V89" s="673"/>
      <c r="W89" s="673"/>
      <c r="X89" s="673"/>
      <c r="Y89" s="673"/>
      <c r="Z89" s="673"/>
      <c r="AA89" s="673"/>
      <c r="AB89" s="673"/>
      <c r="AC89" s="673"/>
      <c r="AD89" s="673"/>
      <c r="AE89" s="673"/>
      <c r="AF89" s="673"/>
      <c r="AG89" s="400"/>
      <c r="AH89" s="400"/>
      <c r="AI89" s="400"/>
      <c r="AJ89" s="400"/>
      <c r="AK89" s="400"/>
      <c r="AL89" s="400"/>
      <c r="AM89" s="400"/>
      <c r="AN89" s="400"/>
      <c r="AO89" s="400"/>
      <c r="AP89" s="400"/>
      <c r="AQ89" s="400"/>
      <c r="AR89" s="400"/>
      <c r="AS89" s="400"/>
      <c r="AT89" s="400"/>
      <c r="AU89" s="400"/>
      <c r="AV89" s="398"/>
    </row>
    <row r="90" spans="1:48" ht="18" hidden="1" customHeight="1">
      <c r="A90" s="699" t="s">
        <v>639</v>
      </c>
      <c r="B90" s="696"/>
      <c r="C90" s="1164" t="s">
        <v>640</v>
      </c>
      <c r="D90" s="1197"/>
      <c r="E90" s="1198"/>
      <c r="F90" s="710">
        <v>5.5E-2</v>
      </c>
      <c r="G90" s="712"/>
      <c r="H90" s="712"/>
      <c r="I90" s="655"/>
      <c r="J90" s="436"/>
      <c r="K90" s="656"/>
      <c r="L90" s="655"/>
      <c r="M90" s="657"/>
      <c r="N90" s="656"/>
      <c r="O90" s="741"/>
      <c r="P90" s="659"/>
      <c r="Q90" s="674"/>
      <c r="R90" s="675"/>
      <c r="S90" s="675"/>
      <c r="T90" s="675"/>
      <c r="U90" s="675"/>
      <c r="V90" s="675"/>
      <c r="W90" s="675"/>
      <c r="X90" s="675"/>
      <c r="Y90" s="675"/>
      <c r="Z90" s="675"/>
      <c r="AA90" s="675"/>
      <c r="AB90" s="675"/>
      <c r="AC90" s="675"/>
      <c r="AD90" s="675"/>
      <c r="AE90" s="675"/>
      <c r="AF90" s="675"/>
      <c r="AG90" s="397"/>
      <c r="AH90" s="397"/>
      <c r="AI90" s="397"/>
      <c r="AJ90" s="397"/>
      <c r="AK90" s="397"/>
      <c r="AL90" s="397"/>
      <c r="AM90" s="397"/>
      <c r="AN90" s="397"/>
      <c r="AO90" s="397"/>
      <c r="AP90" s="397"/>
      <c r="AQ90" s="397"/>
      <c r="AR90" s="397"/>
      <c r="AS90" s="397"/>
      <c r="AT90" s="397"/>
      <c r="AU90" s="397"/>
      <c r="AV90" s="395"/>
    </row>
    <row r="91" spans="1:48" ht="18" hidden="1" customHeight="1">
      <c r="A91" s="699" t="s">
        <v>641</v>
      </c>
      <c r="B91" s="698"/>
      <c r="C91" s="1194" t="s">
        <v>642</v>
      </c>
      <c r="D91" s="1195"/>
      <c r="E91" s="1196"/>
      <c r="F91" s="710">
        <v>0.25</v>
      </c>
      <c r="G91" s="711"/>
      <c r="H91" s="711"/>
      <c r="I91" s="649"/>
      <c r="J91" s="434"/>
      <c r="K91" s="651"/>
      <c r="L91" s="649"/>
      <c r="M91" s="652"/>
      <c r="N91" s="651"/>
      <c r="O91" s="743"/>
      <c r="P91" s="654"/>
      <c r="Q91" s="672"/>
      <c r="R91" s="673"/>
      <c r="S91" s="673"/>
      <c r="T91" s="673"/>
      <c r="U91" s="673"/>
      <c r="V91" s="673"/>
      <c r="W91" s="673"/>
      <c r="X91" s="673"/>
      <c r="Y91" s="673"/>
      <c r="Z91" s="673"/>
      <c r="AA91" s="673"/>
      <c r="AB91" s="673"/>
      <c r="AC91" s="673"/>
      <c r="AD91" s="673"/>
      <c r="AE91" s="673"/>
      <c r="AF91" s="673"/>
      <c r="AG91" s="400"/>
      <c r="AH91" s="400"/>
      <c r="AI91" s="400"/>
      <c r="AJ91" s="400"/>
      <c r="AK91" s="400"/>
      <c r="AL91" s="400"/>
      <c r="AM91" s="400"/>
      <c r="AN91" s="400"/>
      <c r="AO91" s="400"/>
      <c r="AP91" s="400"/>
      <c r="AQ91" s="400"/>
      <c r="AR91" s="400"/>
      <c r="AS91" s="400"/>
      <c r="AT91" s="400"/>
      <c r="AU91" s="400"/>
      <c r="AV91" s="398"/>
    </row>
    <row r="92" spans="1:48" ht="18" hidden="1" customHeight="1">
      <c r="A92" s="699" t="s">
        <v>643</v>
      </c>
      <c r="B92" s="696"/>
      <c r="C92" s="1164" t="s">
        <v>644</v>
      </c>
      <c r="D92" s="1197"/>
      <c r="E92" s="1198"/>
      <c r="F92" s="710">
        <v>0.03</v>
      </c>
      <c r="G92" s="712"/>
      <c r="H92" s="712"/>
      <c r="I92" s="655"/>
      <c r="J92" s="436"/>
      <c r="K92" s="656"/>
      <c r="L92" s="655"/>
      <c r="M92" s="657"/>
      <c r="N92" s="656"/>
      <c r="O92" s="741"/>
      <c r="P92" s="659"/>
      <c r="Q92" s="674"/>
      <c r="R92" s="675"/>
      <c r="S92" s="675"/>
      <c r="T92" s="675"/>
      <c r="U92" s="675"/>
      <c r="V92" s="675"/>
      <c r="W92" s="675"/>
      <c r="X92" s="675"/>
      <c r="Y92" s="675"/>
      <c r="Z92" s="675"/>
      <c r="AA92" s="675"/>
      <c r="AB92" s="675"/>
      <c r="AC92" s="675"/>
      <c r="AD92" s="675"/>
      <c r="AE92" s="675"/>
      <c r="AF92" s="675"/>
      <c r="AG92" s="397"/>
      <c r="AH92" s="397"/>
      <c r="AI92" s="397"/>
      <c r="AJ92" s="397"/>
      <c r="AK92" s="397"/>
      <c r="AL92" s="397"/>
      <c r="AM92" s="397"/>
      <c r="AN92" s="397"/>
      <c r="AO92" s="397"/>
      <c r="AP92" s="397"/>
      <c r="AQ92" s="397"/>
      <c r="AR92" s="397"/>
      <c r="AS92" s="397"/>
      <c r="AT92" s="397"/>
      <c r="AU92" s="397"/>
      <c r="AV92" s="395"/>
    </row>
    <row r="93" spans="1:48" ht="18" hidden="1" customHeight="1">
      <c r="A93" s="699" t="s">
        <v>645</v>
      </c>
      <c r="B93" s="709"/>
      <c r="C93" s="1194" t="s">
        <v>646</v>
      </c>
      <c r="D93" s="1195"/>
      <c r="E93" s="1196"/>
      <c r="F93" s="710">
        <v>0.06</v>
      </c>
      <c r="G93" s="711"/>
      <c r="H93" s="711"/>
      <c r="I93" s="649"/>
      <c r="J93" s="434"/>
      <c r="K93" s="651"/>
      <c r="L93" s="649"/>
      <c r="M93" s="652"/>
      <c r="N93" s="651"/>
      <c r="O93" s="743"/>
      <c r="P93" s="654"/>
      <c r="Q93" s="672"/>
      <c r="R93" s="673"/>
      <c r="S93" s="673"/>
      <c r="T93" s="673"/>
      <c r="U93" s="673"/>
      <c r="V93" s="673"/>
      <c r="W93" s="673"/>
      <c r="X93" s="673"/>
      <c r="Y93" s="673"/>
      <c r="Z93" s="673"/>
      <c r="AA93" s="673"/>
      <c r="AB93" s="673"/>
      <c r="AC93" s="673"/>
      <c r="AD93" s="673"/>
      <c r="AE93" s="673"/>
      <c r="AF93" s="673"/>
      <c r="AG93" s="400"/>
      <c r="AH93" s="400"/>
      <c r="AI93" s="400"/>
      <c r="AJ93" s="400"/>
      <c r="AK93" s="400"/>
      <c r="AL93" s="400"/>
      <c r="AM93" s="400"/>
      <c r="AN93" s="400"/>
      <c r="AO93" s="400"/>
      <c r="AP93" s="400"/>
      <c r="AQ93" s="400"/>
      <c r="AR93" s="400"/>
      <c r="AS93" s="400"/>
      <c r="AT93" s="400"/>
      <c r="AU93" s="400"/>
      <c r="AV93" s="398"/>
    </row>
    <row r="94" spans="1:48" ht="18" customHeight="1">
      <c r="A94" s="695" t="s">
        <v>647</v>
      </c>
      <c r="B94" s="1176"/>
      <c r="C94" s="1187" t="s">
        <v>648</v>
      </c>
      <c r="D94" s="1162" t="s">
        <v>649</v>
      </c>
      <c r="E94" s="1163"/>
      <c r="F94" s="713">
        <f>投资毛利率</f>
        <v>0.17308371222485164</v>
      </c>
      <c r="G94" s="714"/>
      <c r="H94" s="715">
        <f>IFERROR((H85-H5)/H84,"")</f>
        <v>0.17047722887548611</v>
      </c>
      <c r="I94" s="744"/>
      <c r="J94" s="745"/>
      <c r="K94" s="746"/>
      <c r="L94" s="747"/>
      <c r="M94" s="748"/>
      <c r="N94" s="749"/>
      <c r="O94" s="750"/>
      <c r="P94" s="751"/>
      <c r="Q94" s="674"/>
      <c r="R94" s="770"/>
      <c r="S94" s="770"/>
      <c r="T94" s="675"/>
      <c r="U94" s="770"/>
      <c r="V94" s="770"/>
      <c r="W94" s="675"/>
      <c r="X94" s="770"/>
      <c r="Y94" s="770"/>
      <c r="Z94" s="675"/>
      <c r="AA94" s="770"/>
      <c r="AB94" s="770"/>
      <c r="AC94" s="675"/>
      <c r="AD94" s="770"/>
      <c r="AE94" s="770"/>
      <c r="AF94" s="675"/>
      <c r="AG94" s="397"/>
      <c r="AH94" s="397"/>
      <c r="AI94" s="397"/>
      <c r="AJ94" s="397"/>
      <c r="AK94" s="397"/>
      <c r="AL94" s="397"/>
      <c r="AM94" s="397"/>
      <c r="AN94" s="397"/>
      <c r="AO94" s="397"/>
      <c r="AP94" s="397"/>
      <c r="AQ94" s="397"/>
      <c r="AR94" s="397"/>
      <c r="AS94" s="397"/>
      <c r="AT94" s="397"/>
      <c r="AU94" s="397"/>
      <c r="AV94" s="395"/>
    </row>
    <row r="95" spans="1:48" ht="18" customHeight="1">
      <c r="A95" s="697" t="s">
        <v>650</v>
      </c>
      <c r="B95" s="1177"/>
      <c r="C95" s="1188"/>
      <c r="D95" s="1162" t="s">
        <v>651</v>
      </c>
      <c r="E95" s="1163"/>
      <c r="F95" s="713">
        <f>投资净利率</f>
        <v>3.8872023905359994E-2</v>
      </c>
      <c r="G95" s="716"/>
      <c r="H95" s="715">
        <f>IFERROR(H88/H84,"")</f>
        <v>4.2591053525016007E-2</v>
      </c>
      <c r="I95" s="752"/>
      <c r="J95" s="485"/>
      <c r="K95" s="753"/>
      <c r="L95" s="752"/>
      <c r="M95" s="754"/>
      <c r="N95" s="755"/>
      <c r="O95" s="756"/>
      <c r="P95" s="757"/>
      <c r="Q95" s="774"/>
      <c r="R95" s="769"/>
      <c r="S95" s="769"/>
      <c r="T95" s="673"/>
      <c r="U95" s="769"/>
      <c r="V95" s="769"/>
      <c r="W95" s="673"/>
      <c r="X95" s="769"/>
      <c r="Y95" s="769"/>
      <c r="Z95" s="673"/>
      <c r="AA95" s="769"/>
      <c r="AB95" s="769"/>
      <c r="AC95" s="673"/>
      <c r="AD95" s="769"/>
      <c r="AE95" s="769"/>
      <c r="AF95" s="673"/>
      <c r="AG95" s="400"/>
      <c r="AH95" s="400"/>
      <c r="AI95" s="400"/>
      <c r="AJ95" s="400"/>
      <c r="AK95" s="400"/>
      <c r="AL95" s="400"/>
      <c r="AM95" s="400"/>
      <c r="AN95" s="400"/>
      <c r="AO95" s="400"/>
      <c r="AP95" s="400"/>
      <c r="AQ95" s="400"/>
      <c r="AR95" s="400"/>
      <c r="AS95" s="400"/>
      <c r="AT95" s="400"/>
      <c r="AU95" s="400"/>
      <c r="AV95" s="398"/>
    </row>
    <row r="96" spans="1:48" ht="18" customHeight="1">
      <c r="A96" s="695" t="s">
        <v>652</v>
      </c>
      <c r="B96" s="1177"/>
      <c r="C96" s="1188"/>
      <c r="D96" s="1162" t="s">
        <v>653</v>
      </c>
      <c r="E96" s="1163"/>
      <c r="F96" s="713">
        <f>销售毛利率</f>
        <v>0.16366693833408094</v>
      </c>
      <c r="G96" s="716"/>
      <c r="H96" s="715">
        <f>IFERROR((H85-H5)/H85,"")</f>
        <v>0.16036751611303662</v>
      </c>
      <c r="I96" s="747"/>
      <c r="J96" s="758"/>
      <c r="K96" s="746"/>
      <c r="L96" s="747"/>
      <c r="M96" s="748"/>
      <c r="N96" s="749"/>
      <c r="O96" s="750"/>
      <c r="P96" s="751"/>
      <c r="Q96" s="775"/>
      <c r="R96" s="770"/>
      <c r="S96" s="770"/>
      <c r="T96" s="675"/>
      <c r="U96" s="770"/>
      <c r="V96" s="770"/>
      <c r="W96" s="675"/>
      <c r="X96" s="770"/>
      <c r="Y96" s="770"/>
      <c r="Z96" s="675"/>
      <c r="AA96" s="770"/>
      <c r="AB96" s="770"/>
      <c r="AC96" s="675"/>
      <c r="AD96" s="770"/>
      <c r="AE96" s="770"/>
      <c r="AF96" s="675"/>
      <c r="AG96" s="397"/>
      <c r="AH96" s="397"/>
      <c r="AI96" s="397"/>
      <c r="AJ96" s="397"/>
      <c r="AK96" s="397"/>
      <c r="AL96" s="397"/>
      <c r="AM96" s="397"/>
      <c r="AN96" s="397"/>
      <c r="AO96" s="397"/>
      <c r="AP96" s="397"/>
      <c r="AQ96" s="397"/>
      <c r="AR96" s="397"/>
      <c r="AS96" s="397"/>
      <c r="AT96" s="397"/>
      <c r="AU96" s="397"/>
      <c r="AV96" s="395"/>
    </row>
    <row r="97" spans="1:48" ht="18" customHeight="1">
      <c r="A97" s="697" t="s">
        <v>654</v>
      </c>
      <c r="B97" s="1178"/>
      <c r="C97" s="1189"/>
      <c r="D97" s="1162" t="s">
        <v>655</v>
      </c>
      <c r="E97" s="1163"/>
      <c r="F97" s="713">
        <f>销售净利率</f>
        <v>3.6757156740286269E-2</v>
      </c>
      <c r="G97" s="716"/>
      <c r="H97" s="715">
        <f>IFERROR(H88/H85,"")</f>
        <v>4.0065300846911907E-2</v>
      </c>
      <c r="I97" s="752"/>
      <c r="J97" s="485"/>
      <c r="K97" s="753"/>
      <c r="L97" s="752"/>
      <c r="M97" s="754"/>
      <c r="N97" s="755"/>
      <c r="O97" s="756"/>
      <c r="P97" s="757"/>
      <c r="Q97" s="774"/>
      <c r="R97" s="769"/>
      <c r="S97" s="769"/>
      <c r="T97" s="673"/>
      <c r="U97" s="769"/>
      <c r="V97" s="769"/>
      <c r="W97" s="673"/>
      <c r="X97" s="769"/>
      <c r="Y97" s="769"/>
      <c r="Z97" s="673"/>
      <c r="AA97" s="769"/>
      <c r="AB97" s="769"/>
      <c r="AC97" s="673"/>
      <c r="AD97" s="769"/>
      <c r="AE97" s="769"/>
      <c r="AF97" s="673"/>
      <c r="AG97" s="400"/>
      <c r="AH97" s="400"/>
      <c r="AI97" s="400"/>
      <c r="AJ97" s="400"/>
      <c r="AK97" s="400"/>
      <c r="AL97" s="400"/>
      <c r="AM97" s="400"/>
      <c r="AN97" s="400"/>
      <c r="AO97" s="400"/>
      <c r="AP97" s="400"/>
      <c r="AQ97" s="400"/>
      <c r="AR97" s="400"/>
      <c r="AS97" s="400"/>
      <c r="AT97" s="400"/>
      <c r="AU97" s="400"/>
      <c r="AV97" s="398"/>
    </row>
    <row r="98" spans="1:48" ht="18" customHeight="1">
      <c r="A98" s="695" t="s">
        <v>656</v>
      </c>
      <c r="B98" s="1164" t="s">
        <v>657</v>
      </c>
      <c r="C98" s="1164"/>
      <c r="D98" s="1164"/>
      <c r="E98" s="1165"/>
      <c r="F98" s="717">
        <f>内部收益率</f>
        <v>8.3816905809099618E-2</v>
      </c>
      <c r="G98" s="718"/>
      <c r="H98" s="718" t="s">
        <v>544</v>
      </c>
      <c r="I98" s="747"/>
      <c r="J98" s="758"/>
      <c r="K98" s="746"/>
      <c r="L98" s="747"/>
      <c r="M98" s="748"/>
      <c r="N98" s="749"/>
      <c r="O98" s="750"/>
      <c r="P98" s="751"/>
      <c r="Q98" s="775"/>
      <c r="R98" s="675"/>
      <c r="S98" s="675"/>
      <c r="T98" s="675"/>
      <c r="U98" s="675"/>
      <c r="V98" s="675"/>
      <c r="W98" s="675"/>
      <c r="X98" s="675"/>
      <c r="Y98" s="675"/>
      <c r="Z98" s="675"/>
      <c r="AA98" s="675"/>
      <c r="AB98" s="675"/>
      <c r="AC98" s="675"/>
      <c r="AD98" s="675"/>
      <c r="AE98" s="675"/>
      <c r="AF98" s="675"/>
      <c r="AG98" s="397"/>
      <c r="AH98" s="397"/>
      <c r="AI98" s="397"/>
      <c r="AJ98" s="397"/>
      <c r="AK98" s="397"/>
      <c r="AL98" s="397"/>
      <c r="AM98" s="397"/>
      <c r="AN98" s="397"/>
      <c r="AO98" s="397"/>
      <c r="AP98" s="397"/>
      <c r="AQ98" s="397"/>
      <c r="AR98" s="397"/>
      <c r="AS98" s="397"/>
      <c r="AT98" s="397"/>
      <c r="AU98" s="397"/>
      <c r="AV98" s="395"/>
    </row>
    <row r="99" spans="1:48" ht="18" customHeight="1">
      <c r="A99" s="719" t="s">
        <v>658</v>
      </c>
      <c r="B99" s="720"/>
      <c r="C99" s="720"/>
      <c r="D99" s="1166" t="s">
        <v>659</v>
      </c>
      <c r="E99" s="1167"/>
      <c r="F99" s="721">
        <f>股东内部收益率</f>
        <v>0.12152764181662024</v>
      </c>
      <c r="G99" s="722"/>
      <c r="H99" s="722" t="s">
        <v>544</v>
      </c>
      <c r="I99" s="759"/>
      <c r="J99" s="760"/>
      <c r="K99" s="761"/>
      <c r="L99" s="759"/>
      <c r="M99" s="762"/>
      <c r="N99" s="763"/>
      <c r="O99" s="764"/>
      <c r="P99" s="765"/>
      <c r="Q99" s="776"/>
      <c r="R99" s="777"/>
      <c r="S99" s="777"/>
      <c r="T99" s="777"/>
      <c r="U99" s="777"/>
      <c r="V99" s="777"/>
      <c r="W99" s="777"/>
      <c r="X99" s="777"/>
      <c r="Y99" s="777"/>
      <c r="Z99" s="777"/>
      <c r="AA99" s="777"/>
      <c r="AB99" s="777"/>
      <c r="AC99" s="777"/>
      <c r="AD99" s="777"/>
      <c r="AE99" s="777"/>
      <c r="AF99" s="777"/>
      <c r="AG99" s="779"/>
      <c r="AH99" s="779"/>
      <c r="AI99" s="779"/>
      <c r="AJ99" s="779"/>
      <c r="AK99" s="779"/>
      <c r="AL99" s="779"/>
      <c r="AM99" s="779"/>
      <c r="AN99" s="779"/>
      <c r="AO99" s="779"/>
      <c r="AP99" s="779"/>
      <c r="AQ99" s="779"/>
      <c r="AR99" s="779"/>
      <c r="AS99" s="779"/>
      <c r="AT99" s="779"/>
      <c r="AU99" s="779"/>
      <c r="AV99" s="781"/>
    </row>
    <row r="100" spans="1:48">
      <c r="A100" s="723"/>
      <c r="B100" s="724"/>
      <c r="C100" s="724"/>
      <c r="D100" s="724" t="s">
        <v>660</v>
      </c>
      <c r="E100" s="724"/>
      <c r="F100" s="724"/>
      <c r="G100" s="724"/>
      <c r="H100" s="724"/>
      <c r="I100" s="724"/>
      <c r="J100" s="724"/>
      <c r="K100" s="724"/>
      <c r="L100" s="724"/>
      <c r="M100" s="724"/>
      <c r="N100" s="724"/>
      <c r="O100" s="724"/>
      <c r="P100" s="724"/>
      <c r="Q100" s="724"/>
      <c r="R100" s="723"/>
      <c r="S100" s="723"/>
      <c r="T100" s="723"/>
      <c r="U100" s="723"/>
      <c r="V100" s="723"/>
      <c r="W100" s="723"/>
      <c r="X100" s="723"/>
      <c r="Y100" s="723"/>
      <c r="Z100" s="723"/>
      <c r="AA100" s="723"/>
      <c r="AB100" s="723"/>
      <c r="AC100" s="723"/>
      <c r="AD100" s="723"/>
      <c r="AE100" s="723"/>
      <c r="AF100" s="723"/>
      <c r="AG100" s="723"/>
      <c r="AH100" s="723"/>
      <c r="AI100" s="723"/>
    </row>
    <row r="101" spans="1:48">
      <c r="A101" s="723"/>
      <c r="B101" s="724"/>
      <c r="C101" s="724"/>
      <c r="D101" s="724" t="s">
        <v>661</v>
      </c>
      <c r="E101" s="724"/>
      <c r="F101" s="724"/>
      <c r="G101" s="724"/>
      <c r="H101" s="724"/>
      <c r="I101" s="724"/>
      <c r="J101" s="724"/>
      <c r="K101" s="724"/>
      <c r="L101" s="724"/>
      <c r="M101" s="724"/>
      <c r="N101" s="724"/>
      <c r="O101" s="724"/>
      <c r="P101" s="724"/>
      <c r="Q101" s="724"/>
      <c r="R101" s="723"/>
      <c r="S101" s="723"/>
      <c r="T101" s="723"/>
      <c r="U101" s="723"/>
      <c r="V101" s="723"/>
      <c r="W101" s="723"/>
      <c r="X101" s="723"/>
      <c r="Y101" s="723"/>
      <c r="Z101" s="723"/>
      <c r="AA101" s="723"/>
      <c r="AB101" s="723"/>
      <c r="AC101" s="723"/>
      <c r="AD101" s="723"/>
      <c r="AE101" s="723"/>
      <c r="AF101" s="723"/>
      <c r="AG101" s="723"/>
      <c r="AH101" s="723"/>
      <c r="AI101" s="723"/>
    </row>
    <row r="102" spans="1:48">
      <c r="A102" s="723"/>
      <c r="B102" s="724"/>
      <c r="C102" s="724"/>
      <c r="D102" s="724" t="s">
        <v>662</v>
      </c>
      <c r="E102" s="724"/>
      <c r="F102" s="724"/>
      <c r="G102" s="724"/>
      <c r="H102" s="724"/>
      <c r="I102" s="724"/>
      <c r="J102" s="724"/>
      <c r="K102" s="724"/>
      <c r="L102" s="724"/>
      <c r="M102" s="724"/>
      <c r="N102" s="724"/>
      <c r="O102" s="724"/>
      <c r="P102" s="724"/>
      <c r="Q102" s="724"/>
      <c r="R102" s="723"/>
      <c r="S102" s="723"/>
      <c r="T102" s="723"/>
      <c r="U102" s="723"/>
      <c r="V102" s="723"/>
      <c r="W102" s="723"/>
      <c r="X102" s="723"/>
      <c r="Y102" s="723"/>
      <c r="Z102" s="723"/>
      <c r="AA102" s="723"/>
      <c r="AB102" s="723"/>
      <c r="AC102" s="723"/>
      <c r="AD102" s="723"/>
      <c r="AE102" s="723"/>
      <c r="AF102" s="723"/>
      <c r="AG102" s="723"/>
      <c r="AH102" s="723"/>
      <c r="AI102" s="723"/>
    </row>
    <row r="103" spans="1:48">
      <c r="A103" s="723"/>
      <c r="B103" s="724"/>
      <c r="C103" s="724"/>
      <c r="D103" s="724" t="s">
        <v>663</v>
      </c>
      <c r="E103" s="724"/>
      <c r="F103" s="724"/>
      <c r="G103" s="724"/>
      <c r="H103" s="724"/>
      <c r="I103" s="724"/>
      <c r="J103" s="724"/>
      <c r="K103" s="724"/>
      <c r="L103" s="724"/>
      <c r="M103" s="724"/>
      <c r="N103" s="724"/>
      <c r="O103" s="724"/>
      <c r="P103" s="724"/>
      <c r="Q103" s="724"/>
      <c r="R103" s="723"/>
      <c r="S103" s="723"/>
      <c r="T103" s="723"/>
      <c r="U103" s="723"/>
      <c r="V103" s="723"/>
      <c r="W103" s="723"/>
      <c r="X103" s="723"/>
      <c r="Y103" s="723"/>
      <c r="Z103" s="723"/>
      <c r="AA103" s="723"/>
      <c r="AB103" s="723"/>
      <c r="AC103" s="723"/>
      <c r="AD103" s="723"/>
      <c r="AE103" s="723"/>
      <c r="AF103" s="723"/>
      <c r="AG103" s="723"/>
      <c r="AH103" s="723"/>
      <c r="AI103" s="723"/>
    </row>
    <row r="104" spans="1:48">
      <c r="A104" s="723"/>
      <c r="B104" s="724"/>
      <c r="C104" s="724"/>
      <c r="D104" s="724" t="s">
        <v>664</v>
      </c>
      <c r="E104" s="724"/>
      <c r="F104" s="724"/>
      <c r="G104" s="724"/>
      <c r="H104" s="724"/>
      <c r="I104" s="724"/>
      <c r="J104" s="724"/>
      <c r="K104" s="724"/>
      <c r="L104" s="724"/>
      <c r="M104" s="724"/>
      <c r="N104" s="724"/>
      <c r="O104" s="724"/>
      <c r="P104" s="724"/>
      <c r="Q104" s="724"/>
      <c r="R104" s="723"/>
      <c r="S104" s="723"/>
      <c r="T104" s="723"/>
      <c r="U104" s="723"/>
      <c r="V104" s="723"/>
      <c r="W104" s="723"/>
      <c r="X104" s="723"/>
      <c r="Y104" s="723"/>
      <c r="Z104" s="723"/>
      <c r="AA104" s="723"/>
      <c r="AB104" s="723"/>
      <c r="AC104" s="723"/>
      <c r="AD104" s="723"/>
      <c r="AE104" s="723"/>
      <c r="AF104" s="723"/>
      <c r="AG104" s="723"/>
      <c r="AH104" s="723"/>
      <c r="AI104" s="723"/>
    </row>
    <row r="105" spans="1:48">
      <c r="A105" s="723"/>
      <c r="B105" s="724"/>
      <c r="C105" s="724"/>
      <c r="D105" s="724" t="s">
        <v>665</v>
      </c>
      <c r="E105" s="724"/>
      <c r="F105" s="724"/>
      <c r="G105" s="724"/>
      <c r="H105" s="724"/>
      <c r="I105" s="724"/>
      <c r="J105" s="724"/>
      <c r="K105" s="724"/>
      <c r="L105" s="724"/>
      <c r="M105" s="724"/>
      <c r="N105" s="724"/>
      <c r="O105" s="724"/>
      <c r="P105" s="724"/>
      <c r="Q105" s="724"/>
      <c r="R105" s="723"/>
      <c r="S105" s="723"/>
      <c r="T105" s="723"/>
      <c r="U105" s="723"/>
      <c r="V105" s="723"/>
      <c r="W105" s="723"/>
      <c r="X105" s="723"/>
      <c r="Y105" s="723"/>
      <c r="Z105" s="723"/>
      <c r="AA105" s="723"/>
      <c r="AB105" s="723"/>
      <c r="AC105" s="723"/>
      <c r="AD105" s="723"/>
      <c r="AE105" s="723"/>
      <c r="AF105" s="723"/>
      <c r="AG105" s="723"/>
      <c r="AH105" s="723"/>
      <c r="AI105" s="723"/>
    </row>
    <row r="106" spans="1:48">
      <c r="A106" s="723"/>
      <c r="B106" s="724"/>
      <c r="C106" s="724"/>
      <c r="D106" s="724" t="s">
        <v>666</v>
      </c>
      <c r="E106" s="724"/>
      <c r="F106" s="724"/>
      <c r="G106" s="724"/>
      <c r="H106" s="724"/>
      <c r="I106" s="724"/>
      <c r="J106" s="724"/>
      <c r="K106" s="724"/>
      <c r="L106" s="724"/>
      <c r="M106" s="724"/>
      <c r="N106" s="724"/>
      <c r="O106" s="724"/>
      <c r="P106" s="724"/>
      <c r="Q106" s="724"/>
      <c r="R106" s="723"/>
      <c r="S106" s="723"/>
      <c r="T106" s="723"/>
      <c r="U106" s="723"/>
      <c r="V106" s="723"/>
      <c r="W106" s="723"/>
      <c r="X106" s="723"/>
      <c r="Y106" s="723"/>
      <c r="Z106" s="723"/>
      <c r="AA106" s="723"/>
      <c r="AB106" s="723"/>
      <c r="AC106" s="723"/>
      <c r="AD106" s="723"/>
      <c r="AE106" s="723"/>
      <c r="AF106" s="723"/>
      <c r="AG106" s="723"/>
      <c r="AH106" s="723"/>
      <c r="AI106" s="723"/>
    </row>
    <row r="107" spans="1:48" ht="22.5">
      <c r="A107" s="723"/>
      <c r="B107" s="74"/>
      <c r="C107" s="74"/>
      <c r="D107" s="725"/>
      <c r="E107" s="725"/>
      <c r="F107" s="725"/>
      <c r="G107" s="725"/>
      <c r="H107" s="725"/>
      <c r="I107" s="74"/>
      <c r="J107" s="74"/>
      <c r="K107" s="74"/>
      <c r="L107" s="74"/>
      <c r="M107" s="74"/>
      <c r="N107" s="74"/>
      <c r="O107" s="74"/>
      <c r="P107" s="74"/>
      <c r="Q107" s="74"/>
      <c r="R107" s="723"/>
      <c r="S107" s="723"/>
      <c r="T107" s="723"/>
      <c r="U107" s="723"/>
      <c r="V107" s="723"/>
      <c r="W107" s="723"/>
      <c r="X107" s="723"/>
      <c r="Y107" s="723"/>
      <c r="Z107" s="723"/>
      <c r="AA107" s="723"/>
      <c r="AB107" s="723"/>
      <c r="AC107" s="723"/>
      <c r="AD107" s="723"/>
      <c r="AE107" s="723"/>
      <c r="AF107" s="723"/>
      <c r="AG107" s="723"/>
      <c r="AH107" s="723"/>
      <c r="AI107" s="723"/>
    </row>
  </sheetData>
  <mergeCells count="46">
    <mergeCell ref="R3:T3"/>
    <mergeCell ref="U3:W3"/>
    <mergeCell ref="X3:Z3"/>
    <mergeCell ref="AA3:AC3"/>
    <mergeCell ref="AD3:AF3"/>
    <mergeCell ref="AG3:AJ3"/>
    <mergeCell ref="AK3:AN3"/>
    <mergeCell ref="AO3:AR3"/>
    <mergeCell ref="AS3:AV3"/>
    <mergeCell ref="C84:E84"/>
    <mergeCell ref="F3:F4"/>
    <mergeCell ref="G3:G4"/>
    <mergeCell ref="H3:H4"/>
    <mergeCell ref="I3:I4"/>
    <mergeCell ref="J3:J4"/>
    <mergeCell ref="K3:K4"/>
    <mergeCell ref="L3:L4"/>
    <mergeCell ref="M3:M4"/>
    <mergeCell ref="N3:N4"/>
    <mergeCell ref="O3:O4"/>
    <mergeCell ref="P3:P4"/>
    <mergeCell ref="C92:E92"/>
    <mergeCell ref="C93:E93"/>
    <mergeCell ref="D94:E94"/>
    <mergeCell ref="D95:E95"/>
    <mergeCell ref="C85:E85"/>
    <mergeCell ref="C86:E86"/>
    <mergeCell ref="C88:E88"/>
    <mergeCell ref="C89:E89"/>
    <mergeCell ref="C90:E90"/>
    <mergeCell ref="Q3:Q4"/>
    <mergeCell ref="D96:E96"/>
    <mergeCell ref="D97:E97"/>
    <mergeCell ref="B98:E98"/>
    <mergeCell ref="D99:E99"/>
    <mergeCell ref="B3:B4"/>
    <mergeCell ref="B5:B67"/>
    <mergeCell ref="B68:B73"/>
    <mergeCell ref="B94:B97"/>
    <mergeCell ref="C3:C4"/>
    <mergeCell ref="C5:C67"/>
    <mergeCell ref="C68:C73"/>
    <mergeCell ref="C94:C97"/>
    <mergeCell ref="D3:D4"/>
    <mergeCell ref="E3:E4"/>
    <mergeCell ref="C91:E91"/>
  </mergeCells>
  <phoneticPr fontId="43" type="noConversion"/>
  <pageMargins left="0.7" right="0.7" top="0.75" bottom="0.75" header="0.3" footer="0.3"/>
  <pageSetup paperSize="8"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
  <sheetViews>
    <sheetView showGridLines="0" workbookViewId="0">
      <pane xSplit="2" ySplit="4" topLeftCell="C5" activePane="bottomRight" state="frozenSplit"/>
      <selection pane="topRight"/>
      <selection pane="bottomLeft"/>
      <selection pane="bottomRight" activeCell="G11" sqref="G11"/>
    </sheetView>
  </sheetViews>
  <sheetFormatPr defaultColWidth="9" defaultRowHeight="13.5"/>
  <cols>
    <col min="1" max="1" width="32.75" hidden="1" customWidth="1"/>
    <col min="2" max="2" width="18.625" customWidth="1"/>
    <col min="3" max="3" width="7.375" hidden="1" customWidth="1"/>
    <col min="4" max="15" width="7.625" customWidth="1"/>
    <col min="16" max="16" width="12.625"/>
  </cols>
  <sheetData>
    <row r="1" spans="1:12" s="1" customFormat="1" ht="28.15" customHeight="1">
      <c r="B1" s="1216" t="s">
        <v>667</v>
      </c>
      <c r="C1" s="1077"/>
      <c r="D1" s="1077"/>
      <c r="E1" s="1077"/>
      <c r="F1" s="1077"/>
      <c r="G1" s="1077"/>
      <c r="H1" s="1077"/>
      <c r="I1" s="1077"/>
      <c r="J1" s="1077"/>
      <c r="K1" s="1077"/>
    </row>
    <row r="2" spans="1:12" s="1" customFormat="1" ht="28.15" customHeight="1">
      <c r="B2" s="1078"/>
      <c r="C2" s="1078"/>
      <c r="D2" s="1078"/>
      <c r="E2" s="1078"/>
      <c r="F2" s="1078"/>
      <c r="G2" s="1078"/>
      <c r="H2" s="1078"/>
      <c r="I2" s="1078"/>
      <c r="J2" s="1078"/>
      <c r="K2" s="1078"/>
    </row>
    <row r="3" spans="1:12" s="553" customFormat="1" ht="18" customHeight="1">
      <c r="A3" s="555"/>
      <c r="B3" s="1212" t="s">
        <v>135</v>
      </c>
      <c r="C3" s="1214" t="s">
        <v>668</v>
      </c>
      <c r="D3" s="1214" t="s">
        <v>669</v>
      </c>
      <c r="E3" s="557" t="s">
        <v>670</v>
      </c>
      <c r="F3" s="1214" t="s">
        <v>671</v>
      </c>
      <c r="G3" s="558" t="s">
        <v>672</v>
      </c>
      <c r="L3" s="587"/>
    </row>
    <row r="4" spans="1:12" ht="18" hidden="1" customHeight="1">
      <c r="A4" s="129"/>
      <c r="B4" s="1213"/>
      <c r="C4" s="1215"/>
      <c r="D4" s="1215"/>
      <c r="E4" s="559">
        <v>-0.05</v>
      </c>
      <c r="F4" s="1215"/>
      <c r="G4" s="560" t="s">
        <v>673</v>
      </c>
    </row>
    <row r="5" spans="1:12" ht="18" customHeight="1">
      <c r="A5" s="131" t="str">
        <f>IF(B5="整体售价","SRCS_HeJi_ZongHuiKuanE",IF(B5="整体住宅售价","SRCS_Zong_ZhuZhai_HeJi_HuiKuanE",IF(B5="一期普宅售价","SRCS_QS:一期_ZhuZhai_LX:普宅_XiaoShouDanJia",IF(B5="一期非普宅售价","SRCS_QS:一期_ZhuZhai_LX:非普宅_XiaoShouDanJia",""))))</f>
        <v>SRCS_Zong_ZhuZhai_HeJi_HuiKuanE</v>
      </c>
      <c r="B5" s="561" t="s">
        <v>674</v>
      </c>
      <c r="C5" s="562">
        <f>成本构成!AG2</f>
        <v>45000</v>
      </c>
      <c r="D5" s="562">
        <v>43200</v>
      </c>
      <c r="E5" s="562">
        <v>45000</v>
      </c>
      <c r="F5" s="562">
        <v>45500</v>
      </c>
      <c r="G5" s="563">
        <v>47500</v>
      </c>
      <c r="H5" s="564">
        <v>45000</v>
      </c>
    </row>
    <row r="6" spans="1:12" ht="18" hidden="1" customHeight="1">
      <c r="A6" s="136" t="s">
        <v>675</v>
      </c>
      <c r="B6" s="565" t="s">
        <v>676</v>
      </c>
      <c r="C6" s="566"/>
      <c r="D6" s="566"/>
      <c r="E6" s="566"/>
      <c r="F6" s="566"/>
      <c r="G6" s="567"/>
    </row>
    <row r="7" spans="1:12" ht="18" hidden="1" customHeight="1">
      <c r="A7" s="141" t="s">
        <v>677</v>
      </c>
      <c r="B7" s="561" t="s">
        <v>678</v>
      </c>
      <c r="C7" s="562"/>
      <c r="D7" s="562"/>
      <c r="E7" s="562"/>
      <c r="F7" s="562"/>
      <c r="G7" s="563"/>
    </row>
    <row r="8" spans="1:12" ht="18" customHeight="1">
      <c r="A8" s="136" t="s">
        <v>679</v>
      </c>
      <c r="B8" s="565" t="s">
        <v>680</v>
      </c>
      <c r="C8" s="566">
        <f>成本构成!F84</f>
        <v>461930.53387124732</v>
      </c>
      <c r="D8" s="566">
        <v>460490.24755249999</v>
      </c>
      <c r="E8" s="566">
        <v>461930.53387124703</v>
      </c>
      <c r="F8" s="566">
        <v>462347.32520978799</v>
      </c>
      <c r="G8" s="567">
        <v>464012.490563953</v>
      </c>
    </row>
    <row r="9" spans="1:12" ht="18" customHeight="1">
      <c r="A9" s="141" t="s">
        <v>681</v>
      </c>
      <c r="B9" s="561" t="s">
        <v>682</v>
      </c>
      <c r="C9" s="562">
        <f>成本构成!F85</f>
        <v>488508.26199999999</v>
      </c>
      <c r="D9" s="562">
        <v>469300.38351999997</v>
      </c>
      <c r="E9" s="562">
        <v>488508.26199999999</v>
      </c>
      <c r="F9" s="562">
        <v>493843.78379999998</v>
      </c>
      <c r="G9" s="563">
        <v>515185.87099999998</v>
      </c>
    </row>
    <row r="10" spans="1:12" ht="18" customHeight="1">
      <c r="A10" s="136" t="s">
        <v>683</v>
      </c>
      <c r="B10" s="565" t="s">
        <v>684</v>
      </c>
      <c r="C10" s="566">
        <f>成本构成!F86</f>
        <v>26577.728128752671</v>
      </c>
      <c r="D10" s="566">
        <v>8810.1359675003896</v>
      </c>
      <c r="E10" s="566">
        <v>26577.7281287527</v>
      </c>
      <c r="F10" s="566">
        <v>31496.458590211601</v>
      </c>
      <c r="G10" s="567">
        <v>51173.380436047402</v>
      </c>
    </row>
    <row r="11" spans="1:12" ht="18" customHeight="1">
      <c r="A11" s="141" t="s">
        <v>685</v>
      </c>
      <c r="B11" s="561" t="s">
        <v>686</v>
      </c>
      <c r="C11" s="562">
        <f>成本构成!F88</f>
        <v>17956.174755258831</v>
      </c>
      <c r="D11" s="562">
        <v>533.68188884604206</v>
      </c>
      <c r="E11" s="562">
        <v>17956.1747552589</v>
      </c>
      <c r="F11" s="562">
        <v>22779.044301484599</v>
      </c>
      <c r="G11" s="563">
        <v>38380.035327035599</v>
      </c>
    </row>
    <row r="12" spans="1:12" ht="18" customHeight="1">
      <c r="A12" s="136" t="s">
        <v>687</v>
      </c>
      <c r="B12" s="565" t="s">
        <v>688</v>
      </c>
      <c r="C12" s="568">
        <f>成本构成!H95</f>
        <v>4.2591053525016007E-2</v>
      </c>
      <c r="D12" s="568">
        <v>1.2654266495649301E-3</v>
      </c>
      <c r="E12" s="568">
        <v>4.2591053525016798E-2</v>
      </c>
      <c r="F12" s="568">
        <v>5.4033678107103703E-2</v>
      </c>
      <c r="G12" s="569">
        <v>9.1061409290457002E-2</v>
      </c>
    </row>
    <row r="13" spans="1:12" s="554" customFormat="1" ht="18" customHeight="1">
      <c r="A13" s="570" t="s">
        <v>689</v>
      </c>
      <c r="B13" s="571" t="s">
        <v>690</v>
      </c>
      <c r="C13" s="572">
        <f>成本构成!H97</f>
        <v>4.0065300846911907E-2</v>
      </c>
      <c r="D13" s="572">
        <v>1.2395328861207499E-3</v>
      </c>
      <c r="E13" s="572">
        <v>4.0065300846912601E-2</v>
      </c>
      <c r="F13" s="572">
        <v>5.0277353088388002E-2</v>
      </c>
      <c r="G13" s="573">
        <v>8.1202224015318E-2</v>
      </c>
    </row>
    <row r="14" spans="1:12" ht="18" customHeight="1">
      <c r="A14" s="136" t="s">
        <v>691</v>
      </c>
      <c r="B14" s="565" t="s">
        <v>657</v>
      </c>
      <c r="C14" s="568">
        <f>成本构成!F98</f>
        <v>8.3816905809099618E-2</v>
      </c>
      <c r="D14" s="568">
        <v>5.2423401708473302E-2</v>
      </c>
      <c r="E14" s="568">
        <v>8.3816905809099604E-2</v>
      </c>
      <c r="F14" s="568">
        <v>9.2557251594412596E-2</v>
      </c>
      <c r="G14" s="569">
        <v>0.122093144530612</v>
      </c>
    </row>
    <row r="15" spans="1:12" ht="18" customHeight="1">
      <c r="A15" s="158" t="s">
        <v>692</v>
      </c>
      <c r="B15" s="574" t="s">
        <v>659</v>
      </c>
      <c r="C15" s="575">
        <f>成本构成!F99</f>
        <v>0.12152764181662024</v>
      </c>
      <c r="D15" s="575">
        <v>5.89347465084675E-2</v>
      </c>
      <c r="E15" s="575">
        <v>0.12152764181662</v>
      </c>
      <c r="F15" s="575">
        <v>0.137322670249374</v>
      </c>
      <c r="G15" s="576">
        <v>0.187737086724071</v>
      </c>
    </row>
    <row r="16" spans="1:12" ht="18" customHeight="1">
      <c r="A16" s="577"/>
      <c r="B16" s="578"/>
      <c r="C16" s="579"/>
      <c r="D16" s="579"/>
      <c r="E16" s="579"/>
      <c r="F16" s="579"/>
      <c r="G16" s="579"/>
    </row>
    <row r="18" spans="2:17" ht="18" customHeight="1">
      <c r="B18" s="556" t="s">
        <v>135</v>
      </c>
      <c r="C18" s="557" t="s">
        <v>668</v>
      </c>
      <c r="D18" s="557" t="s">
        <v>693</v>
      </c>
      <c r="E18" s="557" t="s">
        <v>694</v>
      </c>
      <c r="F18" s="557" t="s">
        <v>695</v>
      </c>
      <c r="G18" s="557" t="s">
        <v>696</v>
      </c>
      <c r="H18" s="557" t="s">
        <v>697</v>
      </c>
      <c r="I18" s="557" t="s">
        <v>698</v>
      </c>
      <c r="J18" s="557" t="s">
        <v>699</v>
      </c>
      <c r="K18" s="557" t="s">
        <v>700</v>
      </c>
      <c r="L18" s="557" t="s">
        <v>701</v>
      </c>
      <c r="M18" s="557" t="s">
        <v>702</v>
      </c>
      <c r="N18" s="557" t="s">
        <v>703</v>
      </c>
      <c r="O18" s="558" t="s">
        <v>704</v>
      </c>
    </row>
    <row r="19" spans="2:17" ht="18" customHeight="1">
      <c r="B19" s="580" t="s">
        <v>705</v>
      </c>
      <c r="C19" s="581">
        <f>C21/规划指标!$D$16*10000</f>
        <v>24956.341191857176</v>
      </c>
      <c r="D19" s="581">
        <v>24956.341191857198</v>
      </c>
      <c r="E19" s="581">
        <v>25094.987531811901</v>
      </c>
      <c r="F19" s="581">
        <v>25233.633871766699</v>
      </c>
      <c r="G19" s="581">
        <v>25372.2802117215</v>
      </c>
      <c r="H19" s="581">
        <v>25510.926551676199</v>
      </c>
      <c r="I19" s="581">
        <v>25649.572891631</v>
      </c>
      <c r="J19" s="581">
        <v>25788.219231585801</v>
      </c>
      <c r="K19" s="581">
        <v>25926.8655715405</v>
      </c>
      <c r="L19" s="581">
        <v>26065.511911495301</v>
      </c>
      <c r="M19" s="581">
        <v>26204.158251450001</v>
      </c>
      <c r="N19" s="581">
        <v>26342.804591404802</v>
      </c>
      <c r="O19" s="581">
        <v>26481.450931359599</v>
      </c>
      <c r="P19">
        <f>P21/规划指标!D16*10000</f>
        <v>28699.792370635754</v>
      </c>
    </row>
    <row r="20" spans="2:17" ht="18" customHeight="1">
      <c r="B20" s="565" t="s">
        <v>706</v>
      </c>
      <c r="C20" s="582">
        <f>C21/$D$21-1</f>
        <v>0</v>
      </c>
      <c r="D20" s="582">
        <v>0</v>
      </c>
      <c r="E20" s="583">
        <v>5.5555555555555402E-3</v>
      </c>
      <c r="F20" s="583">
        <v>1.1111111111111099E-2</v>
      </c>
      <c r="G20" s="583">
        <v>1.6666666666666601E-2</v>
      </c>
      <c r="H20" s="583">
        <v>2.2222222222222102E-2</v>
      </c>
      <c r="I20" s="583">
        <v>2.77777777777777E-2</v>
      </c>
      <c r="J20" s="583">
        <v>3.3333333333333402E-2</v>
      </c>
      <c r="K20" s="583">
        <v>3.8888888888889001E-2</v>
      </c>
      <c r="L20" s="583">
        <v>4.4444444444444502E-2</v>
      </c>
      <c r="M20" s="583">
        <v>0.05</v>
      </c>
      <c r="N20" s="583">
        <v>5.5555555555555601E-2</v>
      </c>
      <c r="O20" s="588">
        <v>6.1111111111111102E-2</v>
      </c>
      <c r="P20" s="588">
        <f>P21/$D$21-1</f>
        <v>0.14999999999999991</v>
      </c>
    </row>
    <row r="21" spans="2:17" ht="18" customHeight="1">
      <c r="B21" s="584" t="s">
        <v>707</v>
      </c>
      <c r="C21" s="562">
        <f>成本构成!F7</f>
        <v>270000</v>
      </c>
      <c r="D21" s="562">
        <v>270000</v>
      </c>
      <c r="E21" s="562">
        <v>271500</v>
      </c>
      <c r="F21" s="562">
        <v>273000</v>
      </c>
      <c r="G21" s="562">
        <v>274500</v>
      </c>
      <c r="H21" s="562">
        <v>276000</v>
      </c>
      <c r="I21" s="562">
        <v>277500</v>
      </c>
      <c r="J21" s="562">
        <v>279000</v>
      </c>
      <c r="K21" s="562">
        <v>280500</v>
      </c>
      <c r="L21" s="562">
        <v>282000</v>
      </c>
      <c r="M21" s="562">
        <v>283500</v>
      </c>
      <c r="N21" s="562">
        <v>285000</v>
      </c>
      <c r="O21" s="563">
        <v>286500</v>
      </c>
      <c r="P21">
        <v>310500</v>
      </c>
      <c r="Q21" s="589">
        <v>0</v>
      </c>
    </row>
    <row r="22" spans="2:17" ht="18" customHeight="1">
      <c r="B22" s="565" t="s">
        <v>680</v>
      </c>
      <c r="C22" s="566">
        <f>成本构成!F84</f>
        <v>461930.53387124732</v>
      </c>
      <c r="D22" s="566">
        <v>461930.53387124703</v>
      </c>
      <c r="E22" s="566">
        <v>463546.31827491702</v>
      </c>
      <c r="F22" s="566">
        <v>465163.47767858702</v>
      </c>
      <c r="G22" s="566">
        <v>466777.88708225603</v>
      </c>
      <c r="H22" s="566">
        <v>468392.29648592602</v>
      </c>
      <c r="I22" s="566">
        <v>470006.70588959602</v>
      </c>
      <c r="J22" s="566">
        <v>471623.86529326602</v>
      </c>
      <c r="K22" s="566">
        <v>473243.39969693503</v>
      </c>
      <c r="L22" s="566">
        <v>474876.12160060502</v>
      </c>
      <c r="M22" s="566">
        <v>476525.28100427502</v>
      </c>
      <c r="N22" s="566">
        <v>478178.56540794502</v>
      </c>
      <c r="O22" s="567">
        <v>479837.34981161403</v>
      </c>
    </row>
    <row r="23" spans="2:17" ht="18" customHeight="1">
      <c r="B23" s="561" t="s">
        <v>682</v>
      </c>
      <c r="C23" s="562">
        <f>成本构成!F85</f>
        <v>488508.26199999999</v>
      </c>
      <c r="D23" s="562">
        <v>488508.26199999999</v>
      </c>
      <c r="E23" s="562">
        <v>488508.26199999999</v>
      </c>
      <c r="F23" s="562">
        <v>488508.26199999999</v>
      </c>
      <c r="G23" s="562">
        <v>488508.26199999999</v>
      </c>
      <c r="H23" s="562">
        <v>488508.26199999999</v>
      </c>
      <c r="I23" s="562">
        <v>488508.26199999999</v>
      </c>
      <c r="J23" s="562">
        <v>488508.26199999999</v>
      </c>
      <c r="K23" s="562">
        <v>488508.26199999999</v>
      </c>
      <c r="L23" s="562">
        <v>488508.26199999999</v>
      </c>
      <c r="M23" s="562">
        <v>488508.26199999999</v>
      </c>
      <c r="N23" s="562">
        <v>488508.26199999999</v>
      </c>
      <c r="O23" s="563">
        <v>488508.26199999999</v>
      </c>
    </row>
    <row r="24" spans="2:17" ht="18" customHeight="1">
      <c r="B24" s="565" t="s">
        <v>684</v>
      </c>
      <c r="C24" s="566">
        <f>成本构成!F86</f>
        <v>26577.728128752671</v>
      </c>
      <c r="D24" s="566">
        <v>26577.7281287527</v>
      </c>
      <c r="E24" s="566">
        <v>24961.943725083001</v>
      </c>
      <c r="F24" s="566">
        <v>23344.784321413299</v>
      </c>
      <c r="G24" s="566">
        <v>21730.374917743498</v>
      </c>
      <c r="H24" s="566">
        <v>20115.9655140738</v>
      </c>
      <c r="I24" s="566">
        <v>18501.556110404101</v>
      </c>
      <c r="J24" s="566">
        <v>16884.3967067343</v>
      </c>
      <c r="K24" s="566">
        <v>15264.862303064599</v>
      </c>
      <c r="L24" s="566">
        <v>13632.140399394901</v>
      </c>
      <c r="M24" s="566">
        <v>11982.9809957251</v>
      </c>
      <c r="N24" s="566">
        <v>10329.696592055399</v>
      </c>
      <c r="O24" s="567">
        <v>8670.9121883857297</v>
      </c>
    </row>
    <row r="25" spans="2:17" ht="18" customHeight="1">
      <c r="B25" s="561" t="s">
        <v>686</v>
      </c>
      <c r="C25" s="562">
        <f>成本构成!F88</f>
        <v>17956.174755258831</v>
      </c>
      <c r="D25" s="562">
        <v>17956.174755258799</v>
      </c>
      <c r="E25" s="562">
        <v>16340.3903515891</v>
      </c>
      <c r="F25" s="562">
        <v>14723.230947919399</v>
      </c>
      <c r="G25" s="562">
        <v>13108.8215442497</v>
      </c>
      <c r="H25" s="562">
        <v>11494.4121405799</v>
      </c>
      <c r="I25" s="562">
        <v>9880.0027369102409</v>
      </c>
      <c r="J25" s="562">
        <v>8262.8433332404802</v>
      </c>
      <c r="K25" s="562">
        <v>6643.3089295707696</v>
      </c>
      <c r="L25" s="562">
        <v>5010.5870259010699</v>
      </c>
      <c r="M25" s="562">
        <v>3361.4276222313001</v>
      </c>
      <c r="N25" s="562">
        <v>1708.1432185616</v>
      </c>
      <c r="O25" s="563">
        <v>49.3588148918898</v>
      </c>
      <c r="Q25" s="590">
        <f>G25-D25</f>
        <v>-4847.3532110090982</v>
      </c>
    </row>
    <row r="26" spans="2:17" ht="18" customHeight="1">
      <c r="B26" s="565" t="s">
        <v>688</v>
      </c>
      <c r="C26" s="568">
        <f>成本构成!H95</f>
        <v>4.2591053525016007E-2</v>
      </c>
      <c r="D26" s="568">
        <v>4.2591053525016E-2</v>
      </c>
      <c r="E26" s="568">
        <v>3.8610525456368297E-2</v>
      </c>
      <c r="F26" s="568">
        <v>3.4656927665146602E-2</v>
      </c>
      <c r="G26" s="568">
        <v>3.0739962328755401E-2</v>
      </c>
      <c r="H26" s="568">
        <v>2.68525425404465E-2</v>
      </c>
      <c r="I26" s="568">
        <v>2.299433526453E-2</v>
      </c>
      <c r="J26" s="568">
        <v>1.9158514006038501E-2</v>
      </c>
      <c r="K26" s="568">
        <v>1.53457805185918E-2</v>
      </c>
      <c r="L26" s="568">
        <v>1.15307690253613E-2</v>
      </c>
      <c r="M26" s="568">
        <v>7.7063427711543502E-3</v>
      </c>
      <c r="N26" s="568">
        <v>3.9012685763216699E-3</v>
      </c>
      <c r="O26" s="569">
        <v>1.1230628475905E-4</v>
      </c>
    </row>
    <row r="27" spans="2:17" ht="18" customHeight="1">
      <c r="B27" s="571" t="s">
        <v>690</v>
      </c>
      <c r="C27" s="572">
        <f>成本构成!H97</f>
        <v>4.0065300846911907E-2</v>
      </c>
      <c r="D27" s="572">
        <v>4.00653008469119E-2</v>
      </c>
      <c r="E27" s="572">
        <v>3.6460029171895697E-2</v>
      </c>
      <c r="F27" s="572">
        <v>3.2851689483262198E-2</v>
      </c>
      <c r="G27" s="572">
        <v>2.9249485821863399E-2</v>
      </c>
      <c r="H27" s="572">
        <v>2.5647282160464201E-2</v>
      </c>
      <c r="I27" s="572">
        <v>2.2045078499065601E-2</v>
      </c>
      <c r="J27" s="572">
        <v>1.8436738810431799E-2</v>
      </c>
      <c r="K27" s="572">
        <v>1.4823099825549999E-2</v>
      </c>
      <c r="L27" s="572">
        <v>1.11800358009748E-2</v>
      </c>
      <c r="M27" s="572">
        <v>7.50029506815586E-3</v>
      </c>
      <c r="N27" s="572">
        <v>3.8113502944849098E-3</v>
      </c>
      <c r="O27" s="573">
        <v>1.1013346634446401E-4</v>
      </c>
    </row>
    <row r="28" spans="2:17" ht="18" customHeight="1">
      <c r="B28" s="565" t="s">
        <v>657</v>
      </c>
      <c r="C28" s="568">
        <f>成本构成!F98</f>
        <v>8.3816905809099618E-2</v>
      </c>
      <c r="D28" s="568">
        <v>8.3816905809099604E-2</v>
      </c>
      <c r="E28" s="568">
        <v>8.0741744845902699E-2</v>
      </c>
      <c r="F28" s="568">
        <v>7.7696861102585696E-2</v>
      </c>
      <c r="G28" s="568">
        <v>7.4681818907594205E-2</v>
      </c>
      <c r="H28" s="568">
        <v>7.1696190982117006E-2</v>
      </c>
      <c r="I28" s="568">
        <v>6.8739558235739101E-2</v>
      </c>
      <c r="J28" s="568">
        <v>6.5811509568109994E-2</v>
      </c>
      <c r="K28" s="568">
        <v>6.29116416764193E-2</v>
      </c>
      <c r="L28" s="568">
        <v>6.0039558868483701E-2</v>
      </c>
      <c r="M28" s="568">
        <v>5.7194872881246098E-2</v>
      </c>
      <c r="N28" s="568">
        <v>5.4377202704517701E-2</v>
      </c>
      <c r="O28" s="569">
        <v>5.1586174409768801E-2</v>
      </c>
    </row>
    <row r="29" spans="2:17" ht="18" customHeight="1">
      <c r="B29" s="574" t="s">
        <v>659</v>
      </c>
      <c r="C29" s="575">
        <f>成本构成!F99</f>
        <v>0.12152764181662024</v>
      </c>
      <c r="D29" s="575">
        <v>0.12152764181662</v>
      </c>
      <c r="E29" s="575">
        <v>0.11534153551482899</v>
      </c>
      <c r="F29" s="575">
        <v>0.109205634678184</v>
      </c>
      <c r="G29" s="575">
        <v>0.103144566497004</v>
      </c>
      <c r="H29" s="575">
        <v>9.7137497126352806E-2</v>
      </c>
      <c r="I29" s="575">
        <v>9.1183266923995601E-2</v>
      </c>
      <c r="J29" s="575">
        <v>8.52664385779833E-2</v>
      </c>
      <c r="K29" s="575">
        <v>7.9395922334165106E-2</v>
      </c>
      <c r="L29" s="575">
        <v>7.3536232395942799E-2</v>
      </c>
      <c r="M29" s="575">
        <v>6.8055621054920995E-2</v>
      </c>
      <c r="N29" s="575">
        <v>6.2670514625618304E-2</v>
      </c>
      <c r="O29" s="576">
        <v>5.7113217874831299E-2</v>
      </c>
    </row>
    <row r="31" spans="2:17">
      <c r="C31" s="564"/>
    </row>
    <row r="32" spans="2:17" ht="28.5" hidden="1">
      <c r="B32" s="556" t="s">
        <v>135</v>
      </c>
      <c r="C32" s="557" t="s">
        <v>668</v>
      </c>
      <c r="D32" s="557"/>
      <c r="E32" s="557"/>
      <c r="F32" s="557"/>
      <c r="G32" s="557"/>
      <c r="H32" s="558"/>
      <c r="I32" s="558" t="s">
        <v>670</v>
      </c>
    </row>
    <row r="33" spans="2:12" ht="14.25">
      <c r="B33" s="562" t="s">
        <v>708</v>
      </c>
      <c r="C33" s="585">
        <v>0.5</v>
      </c>
      <c r="D33" s="586">
        <v>0</v>
      </c>
      <c r="E33" s="586">
        <v>0.1</v>
      </c>
      <c r="F33" s="586">
        <v>0.2</v>
      </c>
      <c r="G33" s="586">
        <v>0.3</v>
      </c>
      <c r="H33" s="586">
        <v>0.4</v>
      </c>
      <c r="I33" s="585">
        <v>0.5</v>
      </c>
      <c r="J33" s="585">
        <v>0.6</v>
      </c>
      <c r="K33" s="585">
        <v>0.7</v>
      </c>
      <c r="L33" s="585">
        <v>0.872</v>
      </c>
    </row>
    <row r="34" spans="2:12" ht="14.25">
      <c r="B34" s="562" t="s">
        <v>709</v>
      </c>
      <c r="C34" s="566">
        <f>规划指标!E56</f>
        <v>504.8</v>
      </c>
      <c r="D34" s="566">
        <v>0</v>
      </c>
      <c r="E34" s="566">
        <v>124.8</v>
      </c>
      <c r="F34" s="566">
        <v>249.6</v>
      </c>
      <c r="G34" s="566">
        <v>374.4</v>
      </c>
      <c r="H34" s="566">
        <v>499.2</v>
      </c>
      <c r="I34" s="566">
        <v>624</v>
      </c>
      <c r="J34" s="566">
        <v>748.8</v>
      </c>
      <c r="K34" s="566">
        <v>873.6</v>
      </c>
      <c r="L34" s="566">
        <v>1088.2560000000001</v>
      </c>
    </row>
    <row r="35" spans="2:12" ht="14.25">
      <c r="B35" s="565" t="s">
        <v>680</v>
      </c>
      <c r="C35" s="566">
        <f>成本构成!F84</f>
        <v>461930.53387124732</v>
      </c>
      <c r="D35" s="566">
        <v>459974.21805850399</v>
      </c>
      <c r="E35" s="566">
        <v>460130.071439541</v>
      </c>
      <c r="F35" s="566">
        <v>460285.92482057703</v>
      </c>
      <c r="G35" s="566">
        <v>460440.40320161398</v>
      </c>
      <c r="H35" s="566">
        <v>460596.25658265001</v>
      </c>
      <c r="I35" s="566">
        <v>460753.48496368702</v>
      </c>
      <c r="J35" s="566">
        <v>460909.33834472299</v>
      </c>
      <c r="K35" s="566">
        <v>461063.81672576</v>
      </c>
      <c r="L35" s="566">
        <v>461331.97454114299</v>
      </c>
    </row>
    <row r="36" spans="2:12" ht="14.25">
      <c r="B36" s="561" t="s">
        <v>682</v>
      </c>
      <c r="C36" s="562">
        <f>成本构成!F85</f>
        <v>488508.26199999999</v>
      </c>
      <c r="D36" s="562">
        <v>482644.962</v>
      </c>
      <c r="E36" s="562">
        <v>484142.56199999998</v>
      </c>
      <c r="F36" s="562">
        <v>485640.16200000001</v>
      </c>
      <c r="G36" s="562">
        <v>487137.76199999999</v>
      </c>
      <c r="H36" s="562">
        <v>488635.36200000002</v>
      </c>
      <c r="I36" s="562">
        <v>490132.962</v>
      </c>
      <c r="J36" s="562">
        <v>491630.56199999998</v>
      </c>
      <c r="K36" s="562">
        <v>493128.16200000001</v>
      </c>
      <c r="L36" s="562">
        <v>495704.03399999999</v>
      </c>
    </row>
    <row r="37" spans="2:12" ht="14.25">
      <c r="B37" s="565" t="s">
        <v>684</v>
      </c>
      <c r="C37" s="566">
        <f>成本构成!F86</f>
        <v>26577.728128752671</v>
      </c>
      <c r="D37" s="566">
        <v>22670.743941495901</v>
      </c>
      <c r="E37" s="566">
        <v>24012.4905604593</v>
      </c>
      <c r="F37" s="566">
        <v>25354.2371794227</v>
      </c>
      <c r="G37" s="566">
        <v>26697.3587983863</v>
      </c>
      <c r="H37" s="566">
        <v>28039.105417349801</v>
      </c>
      <c r="I37" s="566">
        <v>29379.477036313201</v>
      </c>
      <c r="J37" s="566">
        <v>30721.223655276699</v>
      </c>
      <c r="K37" s="566">
        <v>32064.345274240201</v>
      </c>
      <c r="L37" s="566">
        <v>34372.059458857198</v>
      </c>
    </row>
    <row r="38" spans="2:12" ht="14.25">
      <c r="B38" s="561" t="s">
        <v>686</v>
      </c>
      <c r="C38" s="562">
        <f>成本构成!F88</f>
        <v>17956.174755258831</v>
      </c>
      <c r="D38" s="562">
        <v>15089.999023775001</v>
      </c>
      <c r="E38" s="562">
        <v>16412.551860719999</v>
      </c>
      <c r="F38" s="562">
        <v>17735.104697665101</v>
      </c>
      <c r="G38" s="562">
        <v>19059.0325346104</v>
      </c>
      <c r="H38" s="562">
        <v>20381.5853715556</v>
      </c>
      <c r="I38" s="562">
        <v>21702.763208500499</v>
      </c>
      <c r="J38" s="562">
        <v>23025.316045445699</v>
      </c>
      <c r="K38" s="562">
        <v>24048.258955680201</v>
      </c>
      <c r="L38" s="562">
        <v>25779.044594142899</v>
      </c>
    </row>
    <row r="39" spans="2:12" ht="14.25">
      <c r="B39" s="565" t="s">
        <v>688</v>
      </c>
      <c r="C39" s="568">
        <f>成本构成!H95</f>
        <v>4.2591053525016007E-2</v>
      </c>
      <c r="D39" s="568">
        <v>3.59180674157836E-2</v>
      </c>
      <c r="E39" s="568">
        <v>3.9063088521789198E-2</v>
      </c>
      <c r="F39" s="568">
        <v>4.2207627630986698E-2</v>
      </c>
      <c r="G39" s="568">
        <v>4.5355105360910801E-2</v>
      </c>
      <c r="H39" s="568">
        <v>4.8498690832114999E-2</v>
      </c>
      <c r="I39" s="568">
        <v>5.1638354085515002E-2</v>
      </c>
      <c r="J39" s="568">
        <v>5.4780966315095901E-2</v>
      </c>
      <c r="K39" s="568">
        <v>5.7210518170186797E-2</v>
      </c>
      <c r="L39" s="568">
        <v>6.1319944244086197E-2</v>
      </c>
    </row>
    <row r="40" spans="2:12" ht="14.25">
      <c r="B40" s="571" t="s">
        <v>690</v>
      </c>
      <c r="C40" s="572">
        <f>成本构成!H97</f>
        <v>4.0065300846911907E-2</v>
      </c>
      <c r="D40" s="572">
        <v>3.40790855202475E-2</v>
      </c>
      <c r="E40" s="572">
        <v>3.6951267937035299E-2</v>
      </c>
      <c r="F40" s="572">
        <v>3.98057360841894E-2</v>
      </c>
      <c r="G40" s="572">
        <v>4.2645729982897902E-2</v>
      </c>
      <c r="H40" s="572">
        <v>4.5465248286707997E-2</v>
      </c>
      <c r="I40" s="572">
        <v>4.8264478685001201E-2</v>
      </c>
      <c r="J40" s="572">
        <v>5.10497036381065E-2</v>
      </c>
      <c r="K40" s="572">
        <v>5.3155760067281101E-2</v>
      </c>
      <c r="L40" s="572">
        <v>5.6685353921520902E-2</v>
      </c>
    </row>
    <row r="41" spans="2:12" ht="14.25">
      <c r="B41" s="565" t="s">
        <v>657</v>
      </c>
      <c r="C41" s="568">
        <f>成本构成!F98</f>
        <v>8.3816905809099618E-2</v>
      </c>
      <c r="D41" s="568">
        <v>7.4578559648583106E-2</v>
      </c>
      <c r="E41" s="568">
        <v>7.66763313956349E-2</v>
      </c>
      <c r="F41" s="568">
        <v>7.87684232487256E-2</v>
      </c>
      <c r="G41" s="568">
        <v>8.0854879901099699E-2</v>
      </c>
      <c r="H41" s="568">
        <v>8.2935745481935094E-2</v>
      </c>
      <c r="I41" s="568">
        <v>8.5011063566013303E-2</v>
      </c>
      <c r="J41" s="568">
        <v>8.7080877183190603E-2</v>
      </c>
      <c r="K41" s="568">
        <v>8.8714791815327904E-2</v>
      </c>
      <c r="L41" s="568">
        <v>9.1483819639436303E-2</v>
      </c>
    </row>
    <row r="42" spans="2:12" ht="14.25">
      <c r="B42" s="574" t="s">
        <v>659</v>
      </c>
      <c r="C42" s="575">
        <f>成本构成!F99</f>
        <v>0.12152764181662024</v>
      </c>
      <c r="D42" s="575">
        <v>0.108534967454118</v>
      </c>
      <c r="E42" s="575">
        <v>0.11241296060776799</v>
      </c>
      <c r="F42" s="575">
        <v>0.116235127225958</v>
      </c>
      <c r="G42" s="575">
        <v>0.124927260515121</v>
      </c>
      <c r="H42" s="575">
        <v>0.12877332587097001</v>
      </c>
      <c r="I42" s="575">
        <v>0.13255682856158801</v>
      </c>
      <c r="J42" s="575">
        <v>0.13630046773601801</v>
      </c>
      <c r="K42" s="575">
        <v>0.13920953536248001</v>
      </c>
      <c r="L42" s="575">
        <v>0.143013226704677</v>
      </c>
    </row>
  </sheetData>
  <mergeCells count="5">
    <mergeCell ref="B3:B4"/>
    <mergeCell ref="C3:C4"/>
    <mergeCell ref="D3:D4"/>
    <mergeCell ref="F3:F4"/>
    <mergeCell ref="B1:K2"/>
  </mergeCells>
  <phoneticPr fontId="43" type="noConversion"/>
  <dataValidations count="1">
    <dataValidation type="list" allowBlank="1" showInputMessage="1" showErrorMessage="1" promptTitle="选择售价" sqref="B5">
      <formula1>"整体住宅售价,整体售价,一期普宅售价,一期非普宅售价"</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workbookViewId="0">
      <selection activeCell="C12" sqref="C12"/>
    </sheetView>
  </sheetViews>
  <sheetFormatPr defaultColWidth="8.75" defaultRowHeight="13.5"/>
  <cols>
    <col min="2" max="2" width="30.625" customWidth="1"/>
    <col min="3" max="5" width="26.625" customWidth="1"/>
  </cols>
  <sheetData>
    <row r="1" spans="1:5" ht="33.75">
      <c r="A1" s="1217" t="s">
        <v>710</v>
      </c>
      <c r="B1" s="1077"/>
      <c r="C1" s="1077"/>
      <c r="D1" s="8"/>
      <c r="E1" s="8"/>
    </row>
    <row r="2" spans="1:5" ht="33.75">
      <c r="A2" s="1078"/>
      <c r="B2" s="1078"/>
      <c r="C2" s="1078"/>
      <c r="D2" s="8"/>
      <c r="E2" s="500" t="s">
        <v>711</v>
      </c>
    </row>
    <row r="3" spans="1:5" ht="14.25">
      <c r="A3" s="1226" t="s">
        <v>135</v>
      </c>
      <c r="B3" s="1227"/>
      <c r="C3" s="501" t="str">
        <f>"合计"</f>
        <v>合计</v>
      </c>
      <c r="D3" s="501" t="str">
        <f>"普通住宅"</f>
        <v>普通住宅</v>
      </c>
      <c r="E3" s="502" t="str">
        <f>"非普通住宅及公建"</f>
        <v>非普通住宅及公建</v>
      </c>
    </row>
    <row r="4" spans="1:5" ht="18" customHeight="1">
      <c r="A4" s="1228" t="s">
        <v>712</v>
      </c>
      <c r="B4" s="1229"/>
      <c r="C4" s="503">
        <f>IFERROR(规划指标!D15,0)</f>
        <v>176500.66012000002</v>
      </c>
      <c r="D4" s="504">
        <f>IFERROR((规划指标!D17-规划指标!D18),0)</f>
        <v>16848</v>
      </c>
      <c r="E4" s="505">
        <f>C4-D4</f>
        <v>159652.66012000002</v>
      </c>
    </row>
    <row r="5" spans="1:5" ht="18" customHeight="1">
      <c r="A5" s="1230" t="s">
        <v>713</v>
      </c>
      <c r="B5" s="1231"/>
      <c r="C5" s="506">
        <f>IFERROR(规划指标!E15,0)</f>
        <v>148884.87716</v>
      </c>
      <c r="D5" s="507">
        <f>IFERROR((规划指标!E17-规划指标!E18),0)</f>
        <v>16848</v>
      </c>
      <c r="E5" s="508">
        <f>C5-D5</f>
        <v>132036.87716</v>
      </c>
    </row>
    <row r="6" spans="1:5" ht="18" customHeight="1">
      <c r="A6" s="1232" t="s">
        <v>714</v>
      </c>
      <c r="B6" s="1233"/>
      <c r="C6" s="509">
        <f>SUM(C7:C8)</f>
        <v>448172.71743119269</v>
      </c>
      <c r="D6" s="510">
        <f>SUM(D7:D8)</f>
        <v>69555.963302752265</v>
      </c>
      <c r="E6" s="511">
        <f>SUM(E7:E8)</f>
        <v>378616.7541284404</v>
      </c>
    </row>
    <row r="7" spans="1:5" ht="18" customHeight="1">
      <c r="A7" s="512" t="s">
        <v>715</v>
      </c>
      <c r="B7" s="513" t="s">
        <v>716</v>
      </c>
      <c r="C7" s="514">
        <f>D7+E7</f>
        <v>0</v>
      </c>
      <c r="D7" s="515"/>
      <c r="E7" s="516"/>
    </row>
    <row r="8" spans="1:5" ht="18" customHeight="1">
      <c r="A8" s="517" t="s">
        <v>717</v>
      </c>
      <c r="B8" s="518" t="s">
        <v>718</v>
      </c>
      <c r="C8" s="519">
        <f>IFERROR(收入测算!G89,0)</f>
        <v>448172.71743119269</v>
      </c>
      <c r="D8" s="520">
        <f>IFERROR(收入测算!G80*(1-规划指标!E18/规划指标!E17)+收入测算!G73,0)</f>
        <v>69555.963302752265</v>
      </c>
      <c r="E8" s="521">
        <f>IFERROR(C8-D8,0)</f>
        <v>378616.7541284404</v>
      </c>
    </row>
    <row r="9" spans="1:5" ht="18" customHeight="1">
      <c r="A9" s="1220" t="s">
        <v>719</v>
      </c>
      <c r="B9" s="1221"/>
      <c r="C9" s="522">
        <f>SUM(C10,C11,C14,C17,C20)</f>
        <v>490063.98585598625</v>
      </c>
      <c r="D9" s="523">
        <f>SUM(D10,D11,D14,D17,D20)</f>
        <v>70164.550787718763</v>
      </c>
      <c r="E9" s="524">
        <f>SUM(E10,E11,E14,E17,E20)</f>
        <v>419899.43506826746</v>
      </c>
    </row>
    <row r="10" spans="1:5" ht="18" customHeight="1">
      <c r="A10" s="1218" t="s">
        <v>720</v>
      </c>
      <c r="B10" s="1219"/>
      <c r="C10" s="519">
        <f>IFERROR(IF(成本构成!AA6=0,成本构成!H6,成本构成!AB6),0)</f>
        <v>265601.1364546289</v>
      </c>
      <c r="D10" s="525">
        <f>IFERROR(C10/规划指标!D27*D5,0)</f>
        <v>41361.419313594022</v>
      </c>
      <c r="E10" s="526">
        <f>C10-D10</f>
        <v>224239.71714103487</v>
      </c>
    </row>
    <row r="11" spans="1:5" ht="18" customHeight="1">
      <c r="A11" s="1220" t="s">
        <v>721</v>
      </c>
      <c r="B11" s="1221"/>
      <c r="C11" s="522">
        <f>SUM(C12:C13)</f>
        <v>110699.23549249355</v>
      </c>
      <c r="D11" s="523">
        <f>SUM(D12:D13)</f>
        <v>12526.864750496001</v>
      </c>
      <c r="E11" s="524">
        <f>SUM(E12:E13)</f>
        <v>98172.370741997554</v>
      </c>
    </row>
    <row r="12" spans="1:5" ht="18" customHeight="1">
      <c r="A12" s="527" t="s">
        <v>722</v>
      </c>
      <c r="B12" s="518" t="s">
        <v>723</v>
      </c>
      <c r="C12" s="528">
        <f>D12+E12</f>
        <v>0</v>
      </c>
      <c r="D12" s="525"/>
      <c r="E12" s="526"/>
    </row>
    <row r="13" spans="1:5" ht="18" customHeight="1">
      <c r="A13" s="529" t="s">
        <v>724</v>
      </c>
      <c r="B13" s="513" t="s">
        <v>725</v>
      </c>
      <c r="C13" s="530">
        <f>IFERROR(IF(成本构成!AB5=0,成本构成!H5-成本构成!H6,成本构成!AB5-成本构成!AB6),0)</f>
        <v>110699.23549249355</v>
      </c>
      <c r="D13" s="531">
        <f>IFERROR(C13/(D5+E5)*D5,0)</f>
        <v>12526.864750496001</v>
      </c>
      <c r="E13" s="532">
        <f>IFERROR(C13-D13,0)</f>
        <v>98172.370741997554</v>
      </c>
    </row>
    <row r="14" spans="1:5" ht="18" customHeight="1">
      <c r="A14" s="1218" t="s">
        <v>726</v>
      </c>
      <c r="B14" s="1219"/>
      <c r="C14" s="533">
        <f>SUM(C15:C16)</f>
        <v>37630.03719471224</v>
      </c>
      <c r="D14" s="534">
        <f>SUM(D15:D16)</f>
        <v>5388.828406409003</v>
      </c>
      <c r="E14" s="535">
        <f>SUM(E15:E16)</f>
        <v>32241.20878830324</v>
      </c>
    </row>
    <row r="15" spans="1:5" ht="18" customHeight="1">
      <c r="A15" s="536" t="s">
        <v>722</v>
      </c>
      <c r="B15" s="513" t="s">
        <v>727</v>
      </c>
      <c r="C15" s="537">
        <f>D15+E15</f>
        <v>18815.01859735612</v>
      </c>
      <c r="D15" s="534">
        <f>IF((D11+D10)*5%&gt;D31,(D11+D10)*5%,D31)</f>
        <v>2694.4142032045015</v>
      </c>
      <c r="E15" s="535">
        <f>IF((E11+E10)*5%&gt;E31,(E11+E10)*5%,E31)</f>
        <v>16120.60439415162</v>
      </c>
    </row>
    <row r="16" spans="1:5" ht="18" customHeight="1">
      <c r="A16" s="527" t="s">
        <v>724</v>
      </c>
      <c r="B16" s="518" t="s">
        <v>728</v>
      </c>
      <c r="C16" s="538">
        <f>D16+E16</f>
        <v>18815.01859735612</v>
      </c>
      <c r="D16" s="534">
        <f>(D11+D10)*5%</f>
        <v>2694.4142032045015</v>
      </c>
      <c r="E16" s="535">
        <f>(E11+E10)*5%</f>
        <v>16120.60439415162</v>
      </c>
    </row>
    <row r="17" spans="1:5" ht="18" customHeight="1">
      <c r="A17" s="1220" t="s">
        <v>729</v>
      </c>
      <c r="B17" s="1221"/>
      <c r="C17" s="533">
        <f>SUM(C18:C19)</f>
        <v>873.50232472705056</v>
      </c>
      <c r="D17" s="534">
        <f>SUM(D18:D19)</f>
        <v>109.78150440172283</v>
      </c>
      <c r="E17" s="535">
        <f>SUM(E18:E19)</f>
        <v>763.72082032532762</v>
      </c>
    </row>
    <row r="18" spans="1:5" ht="18" customHeight="1">
      <c r="A18" s="527" t="s">
        <v>722</v>
      </c>
      <c r="B18" s="518" t="s">
        <v>730</v>
      </c>
      <c r="C18" s="519">
        <f>IFERROR(成本构成!F75*7%,0)</f>
        <v>509.54302275744612</v>
      </c>
      <c r="D18" s="539">
        <f>IFERROR(C18/C13*D13,0)</f>
        <v>57.660529471987715</v>
      </c>
      <c r="E18" s="540">
        <f>IFERROR(C18/C13*E13,0)</f>
        <v>451.88249328545839</v>
      </c>
    </row>
    <row r="19" spans="1:5" ht="18" customHeight="1">
      <c r="A19" s="536" t="s">
        <v>724</v>
      </c>
      <c r="B19" s="513" t="s">
        <v>731</v>
      </c>
      <c r="C19" s="530">
        <f>IFERROR(成本构成!F75*5%,0)</f>
        <v>363.95930196960438</v>
      </c>
      <c r="D19" s="534">
        <f>IFERROR(C19/(D14+E14)*D14,0)</f>
        <v>52.120974929735105</v>
      </c>
      <c r="E19" s="535">
        <f>IFERROR(C19/(D14+E14)*E14,0)</f>
        <v>311.83832703986928</v>
      </c>
    </row>
    <row r="20" spans="1:5" ht="18" customHeight="1">
      <c r="A20" s="1218" t="s">
        <v>732</v>
      </c>
      <c r="B20" s="1219"/>
      <c r="C20" s="538">
        <f t="shared" ref="C20:C30" si="0">D20+E20</f>
        <v>75260.074389424481</v>
      </c>
      <c r="D20" s="534">
        <f>(D10+D11)*20%</f>
        <v>10777.656812818006</v>
      </c>
      <c r="E20" s="535">
        <f>(E10+E11)*20%</f>
        <v>64482.41757660648</v>
      </c>
    </row>
    <row r="21" spans="1:5" ht="18" customHeight="1">
      <c r="A21" s="1220" t="s">
        <v>733</v>
      </c>
      <c r="B21" s="1221"/>
      <c r="C21" s="537">
        <f t="shared" si="0"/>
        <v>-41891.268424793554</v>
      </c>
      <c r="D21" s="534">
        <f>D6-D9</f>
        <v>-608.58748496649787</v>
      </c>
      <c r="E21" s="535">
        <f>IFERROR(E6-E9,0)</f>
        <v>-41282.680939827056</v>
      </c>
    </row>
    <row r="22" spans="1:5" ht="18" customHeight="1">
      <c r="A22" s="1218" t="s">
        <v>734</v>
      </c>
      <c r="B22" s="1219"/>
      <c r="C22" s="541">
        <f t="shared" si="0"/>
        <v>-0.10698935560211276</v>
      </c>
      <c r="D22" s="542">
        <f>IFERROR(D21/D9,0)</f>
        <v>-8.6737173990861192E-3</v>
      </c>
      <c r="E22" s="543">
        <f>IFERROR(E21/E9,0)</f>
        <v>-9.8315638203026634E-2</v>
      </c>
    </row>
    <row r="23" spans="1:5" ht="18" customHeight="1">
      <c r="A23" s="1220" t="s">
        <v>735</v>
      </c>
      <c r="B23" s="1221"/>
      <c r="C23" s="544">
        <f t="shared" si="0"/>
        <v>0</v>
      </c>
      <c r="D23" s="542">
        <f>IF(D22&gt;200%,60%,IF(D22&gt;100%,50%,IF(D22&gt;50%,40%,IF(D22&gt;20%,30%,0))))</f>
        <v>0</v>
      </c>
      <c r="E23" s="543">
        <f>IF(E22&gt;200%,60%,IF(E22&gt;100%,50%,IF(E22&gt;50%,40%,IF(E22&gt;0,30%,0))))</f>
        <v>0</v>
      </c>
    </row>
    <row r="24" spans="1:5" ht="18" customHeight="1">
      <c r="A24" s="1218" t="s">
        <v>736</v>
      </c>
      <c r="B24" s="1219"/>
      <c r="C24" s="541">
        <f t="shared" si="0"/>
        <v>0</v>
      </c>
      <c r="D24" s="542">
        <f>IF(D23=40%,5%,IF(D23=50%,15%,IF(D23=60%,35%,0)))</f>
        <v>0</v>
      </c>
      <c r="E24" s="543">
        <f>IF(E23=40%,5%,IF(E23=50%,15%,IF(E23=60%,35%,0)))</f>
        <v>0</v>
      </c>
    </row>
    <row r="25" spans="1:5" ht="18" customHeight="1">
      <c r="A25" s="1220" t="s">
        <v>737</v>
      </c>
      <c r="B25" s="1221"/>
      <c r="C25" s="537">
        <f t="shared" si="0"/>
        <v>0</v>
      </c>
      <c r="D25" s="539">
        <f>D21*D23-D9*D24</f>
        <v>0</v>
      </c>
      <c r="E25" s="540">
        <f>E21*E23-E9*E24</f>
        <v>0</v>
      </c>
    </row>
    <row r="26" spans="1:5" ht="18" customHeight="1">
      <c r="A26" s="1218" t="s">
        <v>738</v>
      </c>
      <c r="B26" s="1219"/>
      <c r="C26" s="538">
        <f t="shared" si="0"/>
        <v>0</v>
      </c>
      <c r="D26" s="545"/>
      <c r="E26" s="546"/>
    </row>
    <row r="27" spans="1:5" ht="18" customHeight="1">
      <c r="A27" s="1220" t="s">
        <v>739</v>
      </c>
      <c r="B27" s="1221"/>
      <c r="C27" s="537">
        <f t="shared" si="0"/>
        <v>0</v>
      </c>
      <c r="D27" s="534">
        <f>D25-D26</f>
        <v>0</v>
      </c>
      <c r="E27" s="535">
        <f>E25-E26</f>
        <v>0</v>
      </c>
    </row>
    <row r="28" spans="1:5" ht="18" customHeight="1">
      <c r="A28" s="1222" t="s">
        <v>740</v>
      </c>
      <c r="B28" s="1223"/>
      <c r="C28" s="538">
        <f t="shared" si="0"/>
        <v>0</v>
      </c>
      <c r="D28" s="534">
        <f>IF(D6&gt;0,D25*D7/D6,0)</f>
        <v>0</v>
      </c>
      <c r="E28" s="535">
        <f>IFERROR(E25*E7/E6,0)</f>
        <v>0</v>
      </c>
    </row>
    <row r="29" spans="1:5" ht="18" customHeight="1">
      <c r="A29" s="1224" t="s">
        <v>741</v>
      </c>
      <c r="B29" s="1225"/>
      <c r="C29" s="537">
        <f>IF(D29+E29&gt;0,D29+E29,0)</f>
        <v>0</v>
      </c>
      <c r="D29" s="534">
        <f>IFERROR(D25*D8/D6,0)</f>
        <v>0</v>
      </c>
      <c r="E29" s="535">
        <f>IFERROR(E25*E8/E6,0)</f>
        <v>0</v>
      </c>
    </row>
    <row r="30" spans="1:5" ht="18" customHeight="1">
      <c r="A30" s="1234" t="s">
        <v>742</v>
      </c>
      <c r="B30" s="1235"/>
      <c r="C30" s="538">
        <f t="shared" si="0"/>
        <v>0</v>
      </c>
      <c r="D30" s="539">
        <f>IFERROR(D25/D5,0)</f>
        <v>0</v>
      </c>
      <c r="E30" s="540">
        <f>IFERROR(E25/E5,0)</f>
        <v>0</v>
      </c>
    </row>
    <row r="31" spans="1:5" ht="18" hidden="1" customHeight="1">
      <c r="A31" s="547" t="s">
        <v>743</v>
      </c>
      <c r="B31" s="548"/>
      <c r="C31" s="549">
        <f>IFERROR(IF(成本构成!AB70=0,基础运算!C34,基础运算!C34*成本构成!AB70/成本构成!H70),0)</f>
        <v>12705</v>
      </c>
      <c r="D31" s="549">
        <f>IFERROR(C31*D5/C5,0)</f>
        <v>1437.7137831800458</v>
      </c>
      <c r="E31" s="550">
        <f>IFERROR(C31*E5/C5,0)</f>
        <v>11267.286216819954</v>
      </c>
    </row>
    <row r="32" spans="1:5" ht="14.25">
      <c r="A32" s="551" t="s">
        <v>243</v>
      </c>
      <c r="B32" s="551"/>
    </row>
    <row r="33" spans="2:2" ht="14.25">
      <c r="B33" s="552" t="s">
        <v>744</v>
      </c>
    </row>
    <row r="34" spans="2:2" ht="14.25">
      <c r="B34" s="552" t="s">
        <v>745</v>
      </c>
    </row>
    <row r="35" spans="2:2" ht="14.25">
      <c r="B35" s="552" t="s">
        <v>746</v>
      </c>
    </row>
  </sheetData>
  <mergeCells count="21">
    <mergeCell ref="A30:B30"/>
    <mergeCell ref="A21:B21"/>
    <mergeCell ref="A22:B22"/>
    <mergeCell ref="A23:B23"/>
    <mergeCell ref="A24:B24"/>
    <mergeCell ref="A25:B25"/>
    <mergeCell ref="A1:C2"/>
    <mergeCell ref="A26:B26"/>
    <mergeCell ref="A27:B27"/>
    <mergeCell ref="A28:B28"/>
    <mergeCell ref="A29:B29"/>
    <mergeCell ref="A10:B10"/>
    <mergeCell ref="A11:B11"/>
    <mergeCell ref="A14:B14"/>
    <mergeCell ref="A17:B17"/>
    <mergeCell ref="A20:B20"/>
    <mergeCell ref="A3:B3"/>
    <mergeCell ref="A4:B4"/>
    <mergeCell ref="A5:B5"/>
    <mergeCell ref="A6:B6"/>
    <mergeCell ref="A9:B9"/>
  </mergeCells>
  <phoneticPr fontId="43" type="noConversion"/>
  <pageMargins left="0.7" right="0.7" top="0.75" bottom="0.75" header="0.3" footer="0.3"/>
  <pageSetup paperSize="9" orientation="portrait"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8"/>
  <sheetViews>
    <sheetView showGridLines="0" tabSelected="1" topLeftCell="B1" zoomScale="145" zoomScaleNormal="145" workbookViewId="0">
      <pane xSplit="1" ySplit="2" topLeftCell="C3" activePane="bottomRight" state="frozen"/>
      <selection pane="topRight"/>
      <selection pane="bottomLeft"/>
      <selection pane="bottomRight" activeCell="F25" sqref="F25"/>
    </sheetView>
  </sheetViews>
  <sheetFormatPr defaultColWidth="9" defaultRowHeight="13.5"/>
  <cols>
    <col min="1" max="1" width="31.625" hidden="1" customWidth="1"/>
    <col min="2" max="2" width="23.875" customWidth="1"/>
    <col min="3" max="3" width="18.625" customWidth="1"/>
    <col min="4" max="4" width="16.625" hidden="1" customWidth="1"/>
    <col min="5" max="20" width="16.625" customWidth="1"/>
  </cols>
  <sheetData>
    <row r="1" spans="1:20">
      <c r="A1" s="1236"/>
      <c r="B1" s="1238" t="s">
        <v>747</v>
      </c>
      <c r="C1" s="1238" t="s">
        <v>399</v>
      </c>
      <c r="D1" s="1238" t="s">
        <v>748</v>
      </c>
      <c r="E1" s="1072" t="s">
        <v>180</v>
      </c>
      <c r="F1" s="1072"/>
      <c r="G1" s="1072"/>
      <c r="H1" s="1072"/>
      <c r="I1" s="1072" t="s">
        <v>181</v>
      </c>
      <c r="J1" s="1072"/>
      <c r="K1" s="1072"/>
      <c r="L1" s="1072"/>
      <c r="M1" s="1072" t="s">
        <v>182</v>
      </c>
      <c r="N1" s="1072"/>
      <c r="O1" s="1072"/>
      <c r="P1" s="1072"/>
      <c r="Q1" s="1072" t="s">
        <v>183</v>
      </c>
      <c r="R1" s="1072"/>
      <c r="S1" s="1072"/>
      <c r="T1" s="1073"/>
    </row>
    <row r="2" spans="1:20">
      <c r="A2" s="1237"/>
      <c r="B2" s="1239"/>
      <c r="C2" s="1239"/>
      <c r="D2" s="1239"/>
      <c r="E2" s="418" t="s">
        <v>184</v>
      </c>
      <c r="F2" s="418" t="s">
        <v>185</v>
      </c>
      <c r="G2" s="418" t="s">
        <v>186</v>
      </c>
      <c r="H2" s="418" t="s">
        <v>187</v>
      </c>
      <c r="I2" s="418" t="s">
        <v>184</v>
      </c>
      <c r="J2" s="418" t="s">
        <v>185</v>
      </c>
      <c r="K2" s="418" t="s">
        <v>186</v>
      </c>
      <c r="L2" s="418" t="s">
        <v>187</v>
      </c>
      <c r="M2" s="418" t="s">
        <v>184</v>
      </c>
      <c r="N2" s="418" t="s">
        <v>185</v>
      </c>
      <c r="O2" s="418" t="s">
        <v>186</v>
      </c>
      <c r="P2" s="418" t="s">
        <v>187</v>
      </c>
      <c r="Q2" s="418" t="s">
        <v>184</v>
      </c>
      <c r="R2" s="418" t="s">
        <v>185</v>
      </c>
      <c r="S2" s="418" t="s">
        <v>186</v>
      </c>
      <c r="T2" s="478" t="s">
        <v>187</v>
      </c>
    </row>
    <row r="3" spans="1:20" s="193" customFormat="1" ht="18" customHeight="1">
      <c r="A3" s="419" t="s">
        <v>749</v>
      </c>
      <c r="B3" s="420" t="s">
        <v>750</v>
      </c>
      <c r="C3" s="421">
        <f t="shared" ref="C3:C12" si="0">SUM(D3:T3)</f>
        <v>408555.61040755693</v>
      </c>
      <c r="D3" s="422"/>
      <c r="E3" s="423">
        <f>(E4+E5)</f>
        <v>138099.61634269738</v>
      </c>
      <c r="F3" s="423">
        <f t="shared" ref="F3:T3" si="1">(F4+F5)</f>
        <v>165859.27139892115</v>
      </c>
      <c r="G3" s="423">
        <f t="shared" si="1"/>
        <v>9824.9772990369347</v>
      </c>
      <c r="H3" s="423">
        <f t="shared" si="1"/>
        <v>9824.9772990369347</v>
      </c>
      <c r="I3" s="423">
        <f t="shared" si="1"/>
        <v>9824.9772990369347</v>
      </c>
      <c r="J3" s="423">
        <f t="shared" si="1"/>
        <v>9824.9772990369347</v>
      </c>
      <c r="K3" s="423">
        <f t="shared" si="1"/>
        <v>9824.9772990369347</v>
      </c>
      <c r="L3" s="423">
        <f t="shared" si="1"/>
        <v>9824.9772990369347</v>
      </c>
      <c r="M3" s="423">
        <f t="shared" si="1"/>
        <v>9824.9772990369347</v>
      </c>
      <c r="N3" s="423">
        <f t="shared" si="1"/>
        <v>9824.9772990369347</v>
      </c>
      <c r="O3" s="423">
        <f t="shared" si="1"/>
        <v>9757.9566666567825</v>
      </c>
      <c r="P3" s="423">
        <f t="shared" si="1"/>
        <v>10557.857658320623</v>
      </c>
      <c r="Q3" s="423">
        <f t="shared" si="1"/>
        <v>0</v>
      </c>
      <c r="R3" s="423">
        <f t="shared" si="1"/>
        <v>0</v>
      </c>
      <c r="S3" s="423">
        <f t="shared" si="1"/>
        <v>0</v>
      </c>
      <c r="T3" s="423">
        <f t="shared" si="1"/>
        <v>5681.089948665579</v>
      </c>
    </row>
    <row r="4" spans="1:20" s="193" customFormat="1" ht="18" customHeight="1">
      <c r="A4" s="424" t="s">
        <v>751</v>
      </c>
      <c r="B4" s="425" t="s">
        <v>752</v>
      </c>
      <c r="C4" s="426">
        <f t="shared" si="0"/>
        <v>120057.36604260703</v>
      </c>
      <c r="D4" s="427"/>
      <c r="E4" s="428">
        <f>SUM(E6:E12)</f>
        <v>3099.6163426973808</v>
      </c>
      <c r="F4" s="428">
        <f t="shared" ref="F4:T4" si="2">SUM(F6:F12)</f>
        <v>12361.027033971155</v>
      </c>
      <c r="G4" s="428">
        <f t="shared" si="2"/>
        <v>9824.9772990369347</v>
      </c>
      <c r="H4" s="428">
        <f t="shared" si="2"/>
        <v>9824.9772990369347</v>
      </c>
      <c r="I4" s="428">
        <f t="shared" si="2"/>
        <v>9824.9772990369347</v>
      </c>
      <c r="J4" s="428">
        <f t="shared" si="2"/>
        <v>9824.9772990369347</v>
      </c>
      <c r="K4" s="428">
        <f t="shared" si="2"/>
        <v>9824.9772990369347</v>
      </c>
      <c r="L4" s="428">
        <f t="shared" si="2"/>
        <v>9824.9772990369347</v>
      </c>
      <c r="M4" s="428">
        <f t="shared" si="2"/>
        <v>9824.9772990369347</v>
      </c>
      <c r="N4" s="428">
        <f t="shared" si="2"/>
        <v>9824.9772990369347</v>
      </c>
      <c r="O4" s="428">
        <f t="shared" si="2"/>
        <v>9757.9566666567825</v>
      </c>
      <c r="P4" s="428">
        <f t="shared" si="2"/>
        <v>10557.857658320623</v>
      </c>
      <c r="Q4" s="428">
        <f t="shared" si="2"/>
        <v>0</v>
      </c>
      <c r="R4" s="428">
        <f t="shared" si="2"/>
        <v>0</v>
      </c>
      <c r="S4" s="428">
        <f t="shared" si="2"/>
        <v>0</v>
      </c>
      <c r="T4" s="428">
        <f t="shared" si="2"/>
        <v>5681.089948665579</v>
      </c>
    </row>
    <row r="5" spans="1:20" ht="18" customHeight="1">
      <c r="A5" s="429" t="s">
        <v>753</v>
      </c>
      <c r="B5" s="430" t="s">
        <v>474</v>
      </c>
      <c r="C5" s="431">
        <f t="shared" si="0"/>
        <v>288498.24436494999</v>
      </c>
      <c r="D5" s="432"/>
      <c r="E5" s="433">
        <f>成本构成!AG6</f>
        <v>135000</v>
      </c>
      <c r="F5" s="433">
        <f>成本构成!AH6</f>
        <v>153498.24436494999</v>
      </c>
      <c r="G5" s="433">
        <f>成本构成!AI6</f>
        <v>0</v>
      </c>
      <c r="H5" s="433">
        <f>成本构成!AJ6</f>
        <v>0</v>
      </c>
      <c r="I5" s="433">
        <f>成本构成!AK6</f>
        <v>0</v>
      </c>
      <c r="J5" s="433">
        <f>成本构成!AL6</f>
        <v>0</v>
      </c>
      <c r="K5" s="433">
        <f>成本构成!AM6</f>
        <v>0</v>
      </c>
      <c r="L5" s="433">
        <f>成本构成!AN6</f>
        <v>0</v>
      </c>
      <c r="M5" s="433">
        <f>成本构成!AO6</f>
        <v>0</v>
      </c>
      <c r="N5" s="433">
        <f>成本构成!AP6</f>
        <v>0</v>
      </c>
      <c r="O5" s="433">
        <f>成本构成!AQ6</f>
        <v>0</v>
      </c>
      <c r="P5" s="433">
        <f>成本构成!AR6</f>
        <v>0</v>
      </c>
      <c r="Q5" s="433">
        <f>成本构成!AS6</f>
        <v>0</v>
      </c>
      <c r="R5" s="433">
        <f>成本构成!AT6</f>
        <v>0</v>
      </c>
      <c r="S5" s="433">
        <f>成本构成!AU6</f>
        <v>0</v>
      </c>
      <c r="T5" s="433">
        <f>成本构成!AV6</f>
        <v>0</v>
      </c>
    </row>
    <row r="6" spans="1:20" ht="18" customHeight="1">
      <c r="A6" s="424" t="s">
        <v>754</v>
      </c>
      <c r="B6" s="434" t="s">
        <v>497</v>
      </c>
      <c r="C6" s="426">
        <f t="shared" si="0"/>
        <v>5471.5204637200013</v>
      </c>
      <c r="D6" s="435"/>
      <c r="E6" s="428">
        <f>成本构成!AG17</f>
        <v>3009.3362550460006</v>
      </c>
      <c r="F6" s="428">
        <f>成本构成!AH17</f>
        <v>2462.1842086740007</v>
      </c>
      <c r="G6" s="428">
        <f>成本构成!AI17</f>
        <v>0</v>
      </c>
      <c r="H6" s="428">
        <f>成本构成!AJ17</f>
        <v>0</v>
      </c>
      <c r="I6" s="428">
        <f>成本构成!AK17</f>
        <v>0</v>
      </c>
      <c r="J6" s="428">
        <f>成本构成!AL17</f>
        <v>0</v>
      </c>
      <c r="K6" s="428">
        <f>成本构成!AM17</f>
        <v>0</v>
      </c>
      <c r="L6" s="428">
        <f>成本构成!AN17</f>
        <v>0</v>
      </c>
      <c r="M6" s="428">
        <f>成本构成!AO17</f>
        <v>0</v>
      </c>
      <c r="N6" s="428">
        <f>成本构成!AP17</f>
        <v>0</v>
      </c>
      <c r="O6" s="428">
        <f>成本构成!AQ17</f>
        <v>0</v>
      </c>
      <c r="P6" s="428">
        <f>成本构成!AR17</f>
        <v>0</v>
      </c>
      <c r="Q6" s="428">
        <f>成本构成!AS17</f>
        <v>0</v>
      </c>
      <c r="R6" s="428">
        <f>成本构成!AT17</f>
        <v>0</v>
      </c>
      <c r="S6" s="428">
        <f>成本构成!AU17</f>
        <v>0</v>
      </c>
      <c r="T6" s="428">
        <f>成本构成!AV17</f>
        <v>0</v>
      </c>
    </row>
    <row r="7" spans="1:20" ht="18" customHeight="1">
      <c r="A7" s="429" t="s">
        <v>755</v>
      </c>
      <c r="B7" s="436" t="s">
        <v>518</v>
      </c>
      <c r="C7" s="431">
        <f t="shared" si="0"/>
        <v>91395.502728569103</v>
      </c>
      <c r="D7" s="432"/>
      <c r="E7" s="433">
        <f>成本构成!AG27</f>
        <v>0</v>
      </c>
      <c r="F7" s="433">
        <f>成本构成!AH27</f>
        <v>7838.0083620992527</v>
      </c>
      <c r="G7" s="433">
        <f>成本构成!AI27</f>
        <v>7838.0083620992527</v>
      </c>
      <c r="H7" s="433">
        <f>成本构成!AJ27</f>
        <v>7838.0083620992527</v>
      </c>
      <c r="I7" s="433">
        <f>成本构成!AK27</f>
        <v>7838.0083620992527</v>
      </c>
      <c r="J7" s="433">
        <f>成本构成!AL27</f>
        <v>7838.0083620992527</v>
      </c>
      <c r="K7" s="433">
        <f>成本构成!AM27</f>
        <v>7838.0083620992527</v>
      </c>
      <c r="L7" s="433">
        <f>成本构成!AN27</f>
        <v>7838.0083620992527</v>
      </c>
      <c r="M7" s="433">
        <f>成本构成!AO27</f>
        <v>7838.0083620992527</v>
      </c>
      <c r="N7" s="433">
        <f>成本构成!AP27</f>
        <v>7838.0083620992527</v>
      </c>
      <c r="O7" s="433">
        <f>成本构成!AQ27</f>
        <v>7772.9397869728909</v>
      </c>
      <c r="P7" s="433">
        <f>成本构成!AR27</f>
        <v>8549.542691500892</v>
      </c>
      <c r="Q7" s="433">
        <f>成本构成!AS27</f>
        <v>0</v>
      </c>
      <c r="R7" s="433">
        <f>成本构成!AT27</f>
        <v>0</v>
      </c>
      <c r="S7" s="433">
        <f>成本构成!AU27</f>
        <v>0</v>
      </c>
      <c r="T7" s="433">
        <f>成本构成!AV27</f>
        <v>4530.9449912020564</v>
      </c>
    </row>
    <row r="8" spans="1:20" ht="18" customHeight="1">
      <c r="A8" s="424" t="s">
        <v>756</v>
      </c>
      <c r="B8" s="434" t="s">
        <v>549</v>
      </c>
      <c r="C8" s="426">
        <f t="shared" si="0"/>
        <v>13659.551743440003</v>
      </c>
      <c r="D8" s="435"/>
      <c r="E8" s="428">
        <f>成本构成!AG47</f>
        <v>0</v>
      </c>
      <c r="F8" s="428">
        <f>成本构成!AH47</f>
        <v>1179.6885596607274</v>
      </c>
      <c r="G8" s="428">
        <f>成本构成!AI47</f>
        <v>1179.6885596607274</v>
      </c>
      <c r="H8" s="428">
        <f>成本构成!AJ47</f>
        <v>1179.6885596607274</v>
      </c>
      <c r="I8" s="428">
        <f>成本构成!AK47</f>
        <v>1179.6885596607274</v>
      </c>
      <c r="J8" s="428">
        <f>成本构成!AL47</f>
        <v>1179.6885596607274</v>
      </c>
      <c r="K8" s="428">
        <f>成本构成!AM47</f>
        <v>1179.6885596607274</v>
      </c>
      <c r="L8" s="428">
        <f>成本构成!AN47</f>
        <v>1179.6885596607274</v>
      </c>
      <c r="M8" s="428">
        <f>成本构成!AO47</f>
        <v>1179.6885596607274</v>
      </c>
      <c r="N8" s="428">
        <f>成本构成!AP47</f>
        <v>1179.6885596607274</v>
      </c>
      <c r="O8" s="428">
        <f>成本构成!AQ47</f>
        <v>1179.6885596607274</v>
      </c>
      <c r="P8" s="428">
        <f>成本构成!AR47</f>
        <v>1179.6885596607274</v>
      </c>
      <c r="Q8" s="428">
        <f>成本构成!AS47</f>
        <v>0</v>
      </c>
      <c r="R8" s="428">
        <f>成本构成!AT47</f>
        <v>0</v>
      </c>
      <c r="S8" s="428">
        <f>成本构成!AU47</f>
        <v>0</v>
      </c>
      <c r="T8" s="428">
        <f>成本构成!AV47</f>
        <v>682.97758717200009</v>
      </c>
    </row>
    <row r="9" spans="1:20" ht="18" customHeight="1">
      <c r="A9" s="429" t="s">
        <v>757</v>
      </c>
      <c r="B9" s="436" t="s">
        <v>560</v>
      </c>
      <c r="C9" s="431">
        <f t="shared" si="0"/>
        <v>6033.9746202000024</v>
      </c>
      <c r="D9" s="432"/>
      <c r="E9" s="433">
        <f>成本构成!AG52</f>
        <v>0</v>
      </c>
      <c r="F9" s="433">
        <f>成本构成!AH52</f>
        <v>521.1159899263638</v>
      </c>
      <c r="G9" s="433">
        <f>成本构成!AI52</f>
        <v>521.1159899263638</v>
      </c>
      <c r="H9" s="433">
        <f>成本构成!AJ52</f>
        <v>521.1159899263638</v>
      </c>
      <c r="I9" s="433">
        <f>成本构成!AK52</f>
        <v>521.1159899263638</v>
      </c>
      <c r="J9" s="433">
        <f>成本构成!AL52</f>
        <v>521.1159899263638</v>
      </c>
      <c r="K9" s="433">
        <f>成本构成!AM52</f>
        <v>521.1159899263638</v>
      </c>
      <c r="L9" s="433">
        <f>成本构成!AN52</f>
        <v>521.1159899263638</v>
      </c>
      <c r="M9" s="433">
        <f>成本构成!AO52</f>
        <v>521.1159899263638</v>
      </c>
      <c r="N9" s="433">
        <f>成本构成!AP52</f>
        <v>521.1159899263638</v>
      </c>
      <c r="O9" s="433">
        <f>成本构成!AQ52</f>
        <v>521.1159899263638</v>
      </c>
      <c r="P9" s="433">
        <f>成本构成!AR52</f>
        <v>521.1159899263638</v>
      </c>
      <c r="Q9" s="433">
        <f>成本构成!AS52</f>
        <v>0</v>
      </c>
      <c r="R9" s="433">
        <f>成本构成!AT52</f>
        <v>0</v>
      </c>
      <c r="S9" s="433">
        <f>成本构成!AU52</f>
        <v>0</v>
      </c>
      <c r="T9" s="433">
        <f>成本构成!AV52</f>
        <v>301.69873101000007</v>
      </c>
    </row>
    <row r="10" spans="1:20" ht="18" customHeight="1">
      <c r="A10" s="424" t="s">
        <v>758</v>
      </c>
      <c r="B10" s="434" t="s">
        <v>584</v>
      </c>
      <c r="C10" s="437">
        <f t="shared" si="0"/>
        <v>3496.8164866778739</v>
      </c>
      <c r="D10" s="435"/>
      <c r="E10" s="428">
        <f t="shared" ref="E10:T10" si="3">(E9+E8+E7+E6)*不可预见费率</f>
        <v>90.280087651380015</v>
      </c>
      <c r="F10" s="428">
        <f t="shared" si="3"/>
        <v>360.02991361081035</v>
      </c>
      <c r="G10" s="428">
        <f t="shared" si="3"/>
        <v>286.16438735059029</v>
      </c>
      <c r="H10" s="428">
        <f t="shared" si="3"/>
        <v>286.16438735059029</v>
      </c>
      <c r="I10" s="428">
        <f t="shared" si="3"/>
        <v>286.16438735059029</v>
      </c>
      <c r="J10" s="428">
        <f t="shared" si="3"/>
        <v>286.16438735059029</v>
      </c>
      <c r="K10" s="428">
        <f t="shared" si="3"/>
        <v>286.16438735059029</v>
      </c>
      <c r="L10" s="428">
        <f t="shared" si="3"/>
        <v>286.16438735059029</v>
      </c>
      <c r="M10" s="428">
        <f t="shared" si="3"/>
        <v>286.16438735059029</v>
      </c>
      <c r="N10" s="428">
        <f t="shared" si="3"/>
        <v>286.16438735059029</v>
      </c>
      <c r="O10" s="428">
        <f t="shared" si="3"/>
        <v>284.21233009679946</v>
      </c>
      <c r="P10" s="428">
        <f t="shared" si="3"/>
        <v>307.5104172326395</v>
      </c>
      <c r="Q10" s="428">
        <f t="shared" si="3"/>
        <v>0</v>
      </c>
      <c r="R10" s="428">
        <f t="shared" si="3"/>
        <v>0</v>
      </c>
      <c r="S10" s="428">
        <f t="shared" si="3"/>
        <v>0</v>
      </c>
      <c r="T10" s="428">
        <f t="shared" si="3"/>
        <v>165.46863928152169</v>
      </c>
    </row>
    <row r="11" spans="1:20" ht="18" customHeight="1">
      <c r="A11" s="429" t="s">
        <v>759</v>
      </c>
      <c r="B11" s="436" t="s">
        <v>587</v>
      </c>
      <c r="C11" s="438">
        <f t="shared" si="0"/>
        <v>0</v>
      </c>
      <c r="D11" s="432"/>
      <c r="E11" s="433">
        <f>成本构成!AG66</f>
        <v>0</v>
      </c>
      <c r="F11" s="433">
        <f>成本构成!AH66</f>
        <v>0</v>
      </c>
      <c r="G11" s="433">
        <f>成本构成!AI66</f>
        <v>0</v>
      </c>
      <c r="H11" s="433">
        <f>成本构成!AJ66</f>
        <v>0</v>
      </c>
      <c r="I11" s="433">
        <f>成本构成!AK66</f>
        <v>0</v>
      </c>
      <c r="J11" s="433">
        <f>成本构成!AL66</f>
        <v>0</v>
      </c>
      <c r="K11" s="433">
        <f>成本构成!AM66</f>
        <v>0</v>
      </c>
      <c r="L11" s="433">
        <f>成本构成!AN66</f>
        <v>0</v>
      </c>
      <c r="M11" s="433">
        <f>成本构成!AO66</f>
        <v>0</v>
      </c>
      <c r="N11" s="433">
        <f>成本构成!AP66</f>
        <v>0</v>
      </c>
      <c r="O11" s="433">
        <f>成本构成!AQ66</f>
        <v>0</v>
      </c>
      <c r="P11" s="433">
        <f>成本构成!AR66</f>
        <v>0</v>
      </c>
      <c r="Q11" s="433">
        <f>成本构成!AS66</f>
        <v>0</v>
      </c>
      <c r="R11" s="433">
        <f>成本构成!AT66</f>
        <v>0</v>
      </c>
      <c r="S11" s="433">
        <f>成本构成!AU66</f>
        <v>0</v>
      </c>
      <c r="T11" s="433">
        <f>成本构成!AV66</f>
        <v>0</v>
      </c>
    </row>
    <row r="12" spans="1:20" ht="18" customHeight="1">
      <c r="A12" s="424" t="s">
        <v>760</v>
      </c>
      <c r="B12" s="434" t="s">
        <v>761</v>
      </c>
      <c r="C12" s="437">
        <f t="shared" si="0"/>
        <v>0</v>
      </c>
      <c r="D12" s="435"/>
      <c r="E12" s="428">
        <f>成本构成!AG67</f>
        <v>0</v>
      </c>
      <c r="F12" s="428">
        <f>成本构成!AH67</f>
        <v>0</v>
      </c>
      <c r="G12" s="428">
        <f>成本构成!AI67</f>
        <v>0</v>
      </c>
      <c r="H12" s="428">
        <f>成本构成!AJ67</f>
        <v>0</v>
      </c>
      <c r="I12" s="428">
        <f>成本构成!AK67</f>
        <v>0</v>
      </c>
      <c r="J12" s="428">
        <f>成本构成!AL67</f>
        <v>0</v>
      </c>
      <c r="K12" s="428">
        <f>成本构成!AM67</f>
        <v>0</v>
      </c>
      <c r="L12" s="428">
        <f>成本构成!AN67</f>
        <v>0</v>
      </c>
      <c r="M12" s="428">
        <f>成本构成!AO67</f>
        <v>0</v>
      </c>
      <c r="N12" s="428">
        <f>成本构成!AP67</f>
        <v>0</v>
      </c>
      <c r="O12" s="428">
        <f>成本构成!AQ67</f>
        <v>0</v>
      </c>
      <c r="P12" s="428">
        <f>成本构成!AR67</f>
        <v>0</v>
      </c>
      <c r="Q12" s="428">
        <f>成本构成!AS67</f>
        <v>0</v>
      </c>
      <c r="R12" s="428">
        <f>成本构成!AT67</f>
        <v>0</v>
      </c>
      <c r="S12" s="428">
        <f>成本构成!AU67</f>
        <v>0</v>
      </c>
      <c r="T12" s="428">
        <f>成本构成!AV67</f>
        <v>0</v>
      </c>
    </row>
    <row r="13" spans="1:20" s="193" customFormat="1" ht="18" customHeight="1">
      <c r="A13" s="439" t="s">
        <v>762</v>
      </c>
      <c r="B13" s="440" t="s">
        <v>763</v>
      </c>
      <c r="C13" s="441">
        <f>C14+C15+C16</f>
        <v>44270.522645999998</v>
      </c>
      <c r="D13" s="442"/>
      <c r="E13" s="443">
        <f>E14+E15+E16</f>
        <v>2242.6926637500001</v>
      </c>
      <c r="F13" s="443">
        <f t="shared" ref="F13:T13" si="4">F14+F15+F16</f>
        <v>6614.5676637500001</v>
      </c>
      <c r="G13" s="443">
        <f t="shared" si="4"/>
        <v>4425.1299537980003</v>
      </c>
      <c r="H13" s="443">
        <f t="shared" si="4"/>
        <v>4272.1612387900004</v>
      </c>
      <c r="I13" s="443">
        <f t="shared" si="4"/>
        <v>4281.6143113019998</v>
      </c>
      <c r="J13" s="443">
        <f t="shared" si="4"/>
        <v>5464.2042028100004</v>
      </c>
      <c r="K13" s="443">
        <f t="shared" si="4"/>
        <v>3198.9461713500004</v>
      </c>
      <c r="L13" s="443">
        <f t="shared" si="4"/>
        <v>2783.6961713500004</v>
      </c>
      <c r="M13" s="443">
        <f t="shared" si="4"/>
        <v>3115.0320751300001</v>
      </c>
      <c r="N13" s="443">
        <f t="shared" si="4"/>
        <v>2562.8055688300001</v>
      </c>
      <c r="O13" s="443">
        <f t="shared" si="4"/>
        <v>1343.22065505</v>
      </c>
      <c r="P13" s="443">
        <f t="shared" si="4"/>
        <v>1220.1253537900002</v>
      </c>
      <c r="Q13" s="443">
        <f t="shared" si="4"/>
        <v>1109.68005253</v>
      </c>
      <c r="R13" s="443">
        <f t="shared" si="4"/>
        <v>999.23475127000006</v>
      </c>
      <c r="S13" s="443">
        <f t="shared" si="4"/>
        <v>323.16865375000003</v>
      </c>
      <c r="T13" s="443">
        <f t="shared" si="4"/>
        <v>314.24315875000002</v>
      </c>
    </row>
    <row r="14" spans="1:20" ht="18" customHeight="1">
      <c r="A14" s="429" t="s">
        <v>764</v>
      </c>
      <c r="B14" s="444" t="s">
        <v>594</v>
      </c>
      <c r="C14" s="438">
        <f>SUM(D14:T14)</f>
        <v>4885.0826200000001</v>
      </c>
      <c r="D14" s="432"/>
      <c r="E14" s="433">
        <f>成本构成!AG69</f>
        <v>305.31766375000001</v>
      </c>
      <c r="F14" s="433">
        <f>成本构成!AH69</f>
        <v>305.31766375000001</v>
      </c>
      <c r="G14" s="433">
        <f>成本构成!AI69</f>
        <v>305.31766375000001</v>
      </c>
      <c r="H14" s="433">
        <f>成本构成!AJ69</f>
        <v>305.31766375000001</v>
      </c>
      <c r="I14" s="433">
        <f>成本构成!AK69</f>
        <v>305.31766375000001</v>
      </c>
      <c r="J14" s="433">
        <f>成本构成!AL69</f>
        <v>305.31766375000001</v>
      </c>
      <c r="K14" s="433">
        <f>成本构成!AM69</f>
        <v>305.31766375000001</v>
      </c>
      <c r="L14" s="433">
        <f>成本构成!AN69</f>
        <v>305.31766375000001</v>
      </c>
      <c r="M14" s="433">
        <f>成本构成!AO69</f>
        <v>305.31766375000001</v>
      </c>
      <c r="N14" s="433">
        <f>成本构成!AP69</f>
        <v>305.31766375000001</v>
      </c>
      <c r="O14" s="433">
        <f>成本构成!AQ69</f>
        <v>305.31766375000001</v>
      </c>
      <c r="P14" s="433">
        <f>成本构成!AR69</f>
        <v>305.31766375000001</v>
      </c>
      <c r="Q14" s="433">
        <f>成本构成!AS69</f>
        <v>305.31766375000001</v>
      </c>
      <c r="R14" s="433">
        <f>成本构成!AT69</f>
        <v>305.31766375000001</v>
      </c>
      <c r="S14" s="433">
        <f>成本构成!AU69</f>
        <v>305.31766375000001</v>
      </c>
      <c r="T14" s="433">
        <f>成本构成!AV69</f>
        <v>305.31766375000001</v>
      </c>
    </row>
    <row r="15" spans="1:20" ht="18" customHeight="1">
      <c r="A15" s="424" t="s">
        <v>765</v>
      </c>
      <c r="B15" s="445" t="s">
        <v>596</v>
      </c>
      <c r="C15" s="437">
        <f>SUM(D15:T15)</f>
        <v>26149.75</v>
      </c>
      <c r="D15" s="435"/>
      <c r="E15" s="428">
        <f>E32</f>
        <v>1937.375</v>
      </c>
      <c r="F15" s="428">
        <f t="shared" ref="F15:T15" si="5">F32</f>
        <v>4309.25</v>
      </c>
      <c r="G15" s="428">
        <f t="shared" si="5"/>
        <v>3581.5</v>
      </c>
      <c r="H15" s="428">
        <f t="shared" si="5"/>
        <v>3518.25</v>
      </c>
      <c r="I15" s="428">
        <f t="shared" si="5"/>
        <v>3393.125</v>
      </c>
      <c r="J15" s="428">
        <f t="shared" si="5"/>
        <v>1750</v>
      </c>
      <c r="K15" s="428">
        <f t="shared" si="5"/>
        <v>1780.25</v>
      </c>
      <c r="L15" s="428">
        <f t="shared" si="5"/>
        <v>1365</v>
      </c>
      <c r="M15" s="428">
        <f t="shared" si="5"/>
        <v>1365</v>
      </c>
      <c r="N15" s="428">
        <f t="shared" si="5"/>
        <v>1365</v>
      </c>
      <c r="O15" s="428">
        <f t="shared" si="5"/>
        <v>446.25</v>
      </c>
      <c r="P15" s="428">
        <f t="shared" si="5"/>
        <v>446.25</v>
      </c>
      <c r="Q15" s="428">
        <f t="shared" si="5"/>
        <v>446.25</v>
      </c>
      <c r="R15" s="428">
        <f t="shared" si="5"/>
        <v>446.25</v>
      </c>
      <c r="S15" s="428">
        <f t="shared" si="5"/>
        <v>0</v>
      </c>
      <c r="T15" s="428">
        <f t="shared" si="5"/>
        <v>0</v>
      </c>
    </row>
    <row r="16" spans="1:20" ht="18" customHeight="1">
      <c r="A16" s="429" t="s">
        <v>766</v>
      </c>
      <c r="B16" s="444" t="s">
        <v>598</v>
      </c>
      <c r="C16" s="438">
        <f>SUM(D16:T16)</f>
        <v>13235.690026</v>
      </c>
      <c r="D16" s="432"/>
      <c r="E16" s="433">
        <f>成本构成!AG71</f>
        <v>0</v>
      </c>
      <c r="F16" s="433">
        <f>成本构成!AH71</f>
        <v>2000</v>
      </c>
      <c r="G16" s="433">
        <f>成本构成!AI71</f>
        <v>538.31229004800002</v>
      </c>
      <c r="H16" s="433">
        <f>成本构成!AJ71</f>
        <v>448.59357504000008</v>
      </c>
      <c r="I16" s="433">
        <f>成本构成!AK71</f>
        <v>583.17164755200008</v>
      </c>
      <c r="J16" s="433">
        <f>成本构成!AL71</f>
        <v>3408.8865390600008</v>
      </c>
      <c r="K16" s="433">
        <f>成本构成!AM71</f>
        <v>1113.3785076000001</v>
      </c>
      <c r="L16" s="433">
        <f>成本构成!AN71</f>
        <v>1113.3785076000001</v>
      </c>
      <c r="M16" s="433">
        <f>成本构成!AO71</f>
        <v>1444.71441138</v>
      </c>
      <c r="N16" s="433">
        <f>成本构成!AP71</f>
        <v>892.48790508000002</v>
      </c>
      <c r="O16" s="433">
        <f>成本构成!AQ71</f>
        <v>591.65299130000005</v>
      </c>
      <c r="P16" s="433">
        <f>成本构成!AR71</f>
        <v>468.55769004000007</v>
      </c>
      <c r="Q16" s="433">
        <f>成本构成!AS71</f>
        <v>358.11238878</v>
      </c>
      <c r="R16" s="433">
        <f>成本构成!AT71</f>
        <v>247.66708752000002</v>
      </c>
      <c r="S16" s="433">
        <f>成本构成!AU71</f>
        <v>17.850990000000003</v>
      </c>
      <c r="T16" s="433">
        <f>成本构成!AV71</f>
        <v>8.9254950000000015</v>
      </c>
    </row>
    <row r="17" spans="1:20" ht="18" customHeight="1">
      <c r="A17" s="424" t="s">
        <v>767</v>
      </c>
      <c r="B17" s="425" t="s">
        <v>605</v>
      </c>
      <c r="C17" s="437">
        <f>SUM(D17:T17)</f>
        <v>8152.688364119138</v>
      </c>
      <c r="D17" s="435"/>
      <c r="E17" s="428">
        <f>成本构成!AG74</f>
        <v>0</v>
      </c>
      <c r="F17" s="428">
        <f>成本构成!AH74</f>
        <v>0</v>
      </c>
      <c r="G17" s="428">
        <f>成本构成!AI74</f>
        <v>721.47159735192668</v>
      </c>
      <c r="H17" s="428">
        <f>成本构成!AJ74</f>
        <v>601.2263311266056</v>
      </c>
      <c r="I17" s="428">
        <f>成本构成!AK74</f>
        <v>781.5942304645871</v>
      </c>
      <c r="J17" s="428">
        <f>成本构成!AL74</f>
        <v>4568.7510056807341</v>
      </c>
      <c r="K17" s="428">
        <f>成本构成!AM74</f>
        <v>1492.2025470825686</v>
      </c>
      <c r="L17" s="428">
        <f>成本构成!AN74</f>
        <v>-2516.3014822177206</v>
      </c>
      <c r="M17" s="428">
        <f>成本构成!AO74</f>
        <v>1936.2746000146785</v>
      </c>
      <c r="N17" s="428">
        <f>成本构成!AP74</f>
        <v>-1465.7927969876202</v>
      </c>
      <c r="O17" s="428">
        <f>成本构成!AQ74</f>
        <v>792.961328587156</v>
      </c>
      <c r="P17" s="428">
        <f>成本构成!AR74</f>
        <v>-1531.2113911166527</v>
      </c>
      <c r="Q17" s="428">
        <f>成本构成!AS74</f>
        <v>0</v>
      </c>
      <c r="R17" s="428">
        <f>成本构成!AT74</f>
        <v>0</v>
      </c>
      <c r="S17" s="428">
        <f>成本构成!AU74</f>
        <v>0</v>
      </c>
      <c r="T17" s="428">
        <f>成本构成!AV74</f>
        <v>2771.5123941328752</v>
      </c>
    </row>
    <row r="18" spans="1:20" ht="18" customHeight="1">
      <c r="A18" s="429" t="s">
        <v>768</v>
      </c>
      <c r="B18" s="430" t="s">
        <v>610</v>
      </c>
      <c r="C18" s="438">
        <f>SUM(D18:T18)</f>
        <v>951.71245357127577</v>
      </c>
      <c r="D18" s="432"/>
      <c r="E18" s="433">
        <f>成本构成!AG77</f>
        <v>440.14637999999997</v>
      </c>
      <c r="F18" s="433">
        <f>成本构成!AH77</f>
        <v>25.402857305666664</v>
      </c>
      <c r="G18" s="433">
        <f>成本构成!AI77</f>
        <v>99.168040805666649</v>
      </c>
      <c r="H18" s="433">
        <f>成本构成!AJ77</f>
        <v>25.402857305666664</v>
      </c>
      <c r="I18" s="433">
        <f>成本构成!AK77</f>
        <v>83.439300723210096</v>
      </c>
      <c r="J18" s="433">
        <f>成本构成!AL77</f>
        <v>25.402857305666664</v>
      </c>
      <c r="K18" s="433">
        <f>成本构成!AM77</f>
        <v>66.900496946834039</v>
      </c>
      <c r="L18" s="433">
        <f>成本构成!AN77</f>
        <v>25.402857305666664</v>
      </c>
      <c r="M18" s="433">
        <f>成本构成!AO77</f>
        <v>52.41140040062146</v>
      </c>
      <c r="N18" s="433">
        <f>成本构成!AP77</f>
        <v>25.402857305666664</v>
      </c>
      <c r="O18" s="433">
        <f>成本构成!AQ77</f>
        <v>37.207361123388125</v>
      </c>
      <c r="P18" s="433">
        <f>成本构成!AR77</f>
        <v>8.1418043666666673</v>
      </c>
      <c r="Q18" s="433">
        <f>成本构成!AS77</f>
        <v>12.57260668785932</v>
      </c>
      <c r="R18" s="433">
        <f>成本构成!AT77</f>
        <v>8.1418043666666673</v>
      </c>
      <c r="S18" s="433">
        <f>成本构成!AU77</f>
        <v>8.4271672553629671</v>
      </c>
      <c r="T18" s="433">
        <f>成本构成!AV77</f>
        <v>8.1418043666666673</v>
      </c>
    </row>
    <row r="19" spans="1:20" ht="18" customHeight="1">
      <c r="A19" s="424" t="s">
        <v>769</v>
      </c>
      <c r="B19" s="445" t="s">
        <v>770</v>
      </c>
      <c r="C19" s="437">
        <f>土增税!C29</f>
        <v>0</v>
      </c>
      <c r="D19" s="435"/>
      <c r="E19" s="428">
        <f>(收入测算!H89-(收入测算!H89/(1+增值税适用税率)*增值税预交税率)/(1+12%))*土增税预提比例</f>
        <v>0</v>
      </c>
      <c r="F19" s="428">
        <f>(收入测算!I89-(收入测算!I89/(1+增值税适用税率)*增值税预交税率)/(1+12%))*土增税预提比例</f>
        <v>0</v>
      </c>
      <c r="G19" s="428">
        <f>(收入测算!J89-(收入测算!J89/(1+增值税适用税率)*增值税预交税率)/(1+12%))*土增税预提比例</f>
        <v>684.89188307292272</v>
      </c>
      <c r="H19" s="428">
        <f>(收入测算!K89-(收入测算!K89/(1+增值税适用税率)*增值税预交税率)/(1+12%))*土增税预提比例</f>
        <v>570.74323589410233</v>
      </c>
      <c r="I19" s="428">
        <f>(收入测算!L89-(收入测算!L89/(1+增值税适用税率)*增值税预交税率)/(1+12%))*土增税预提比例</f>
        <v>741.96620666233298</v>
      </c>
      <c r="J19" s="428">
        <f>(收入测算!M89-(收入测算!M89/(1+增值税适用税率)*增值税预交税率)/(1+12%))*土增税预提比例</f>
        <v>4337.1083367064866</v>
      </c>
      <c r="K19" s="428">
        <f>(收入测算!N89-(收入测算!N89/(1+增值税适用税率)*增值税预交税率)/(1+12%))*土增税预提比例</f>
        <v>1416.5455939619922</v>
      </c>
      <c r="L19" s="428">
        <f>(收入测算!O89-(收入测算!O89/(1+增值税适用税率)*增值税预交税率)/(1+12%))*土增税预提比例</f>
        <v>1416.5455939619922</v>
      </c>
      <c r="M19" s="428">
        <f>(收入测算!P89-(收入测算!P89/(1+增值税适用税率)*增值税预交税率)/(1+12%))*土增税预提比例</f>
        <v>1838.1025141083226</v>
      </c>
      <c r="N19" s="428">
        <f>(收入测算!Q89-(收入测算!Q89/(1+增值税适用税率)*增值税预交税率)/(1+12%))*土增税预提比例</f>
        <v>1135.507647197772</v>
      </c>
      <c r="O19" s="428">
        <f>(收入测算!R89-(收入测算!R89/(1+增值税适用税率)*增值税预交税率)/(1+12%))*土增税预提比例</f>
        <v>752.756975511468</v>
      </c>
      <c r="P19" s="428">
        <f>(收入测算!S89-(收入测算!S89/(1+增值税适用税率)*增值税预交税率)/(1+12%))*土增税预提比例</f>
        <v>596.14347395111406</v>
      </c>
      <c r="Q19" s="428">
        <f>(收入测算!T89-(收入测算!T89/(1+增值税适用税率)*增值税预交税率)/(1+12%))*土增税预提比例</f>
        <v>455.62450056900383</v>
      </c>
      <c r="R19" s="428">
        <f>(收入测算!U89-(收入测算!U89/(1+增值税适用税率)*增值税预交税率)/(1+12%))*土增税预提比例</f>
        <v>315.10552718689382</v>
      </c>
      <c r="S19" s="428">
        <f>(收入测算!V89-(收入测算!V89/(1+增值税适用税率)*增值税预交税率)/(1+12%))*土增税预提比例</f>
        <v>22.711720281782441</v>
      </c>
      <c r="T19" s="428">
        <f>$C19-SUM($E19:S19)</f>
        <v>-14283.753209066184</v>
      </c>
    </row>
    <row r="20" spans="1:20" ht="18" customHeight="1">
      <c r="A20" s="429" t="s">
        <v>771</v>
      </c>
      <c r="B20" s="444" t="s">
        <v>772</v>
      </c>
      <c r="C20" s="438">
        <f>IF(成本构成!AA87&gt;0,成本构成!AA87,IF(基础运算!C48&gt;0,基础运算!C48*所得税税率,0))</f>
        <v>6644.4320321881678</v>
      </c>
      <c r="D20" s="432"/>
      <c r="E20" s="433">
        <f>IFERROR(MAX(0,(收入测算!H89/(1+增值税适用税率)*15%-E14-E16-(收入测算!H89/(1+增值税适用税率)*增值税预交税率)/(1+附加税税率)*附加税税率-E18-E19)*所得税税率),0)</f>
        <v>0</v>
      </c>
      <c r="F20" s="433">
        <f>IFERROR(MAX(0,(收入测算!I89/(1+增值税适用税率)*15%-F14-F16-(收入测算!I89/(1+增值税适用税率)*增值税预交税率)/(1+附加税税率)*附加税税率-F18-F19)*所得税税率),0)</f>
        <v>0</v>
      </c>
      <c r="G20" s="433">
        <f>IFERROR(MAX(0,(收入测算!J89/(1+增值税适用税率)*15%-G14-G16-(收入测算!J89/(1+增值税适用税率)*增值税预交税率)/(1+附加税税率)*附加税税率-G18-G19)*所得税税率),0)</f>
        <v>381.03678470405043</v>
      </c>
      <c r="H20" s="433">
        <f>IFERROR(MAX(0,(收入测算!K89/(1+增值税适用税率)*15%-H14-H16-(收入测算!K89/(1+增值税适用税率)*增值税预交税率)/(1+附加税税率)*附加税税率-H18-H19)*所得税税率),0)</f>
        <v>319.11837877188941</v>
      </c>
      <c r="I20" s="433">
        <f>IFERROR(MAX(0,(收入测算!L89/(1+增值税适用税率)*15%-I14-I16-(收入测算!L89/(1+增值税适用税率)*增值税预交税率)/(1+附加税税率)*附加税税率-I18-I19)*所得税税率),0)</f>
        <v>425.14882062824512</v>
      </c>
      <c r="J20" s="433">
        <f>IFERROR(MAX(0,(收入测算!M89/(1+增值税适用税率)*15%-J14-J16-(收入测算!M89/(1+增值税适用税率)*增值税预交税率)/(1+附加税税率)*附加税税率-J18-J19)*所得税税率),0)</f>
        <v>2970.6082025981968</v>
      </c>
      <c r="K20" s="433">
        <f>IFERROR(MAX(0,(收入测算!N89/(1+增值税适用税率)*15%-K14-K16-(收入测算!N89/(1+增值税适用税率)*增值税预交税率)/(1+附加税税率)*附加税税率-K18-K19)*所得税税率),0)</f>
        <v>904.18182083765237</v>
      </c>
      <c r="L20" s="433">
        <f>IFERROR(MAX(0,(收入测算!O89/(1+增值税适用税率)*15%-L14-L16-(收入测算!O89/(1+增值税适用税率)*增值税预交税率)/(1+附加税税率)*附加税税率-L18-L19)*所得税税率),0)</f>
        <v>914.55623074794426</v>
      </c>
      <c r="M20" s="433">
        <f>IFERROR(MAX(0,(收入测算!P89/(1+增值税适用税率)*15%-M14-M16-(收入测算!P89/(1+增值税适用税率)*增值税预交税率)/(1+附加税税率)*附加税税率-M18-M19)*所得税税率),0)</f>
        <v>1204.57667384354</v>
      </c>
      <c r="N20" s="433">
        <f>IFERROR(MAX(0,(收入测算!Q89/(1+增值税适用税率)*15%-N14-N16-(收入测算!Q89/(1+增值税适用税率)*增值税预交税率)/(1+附加税税率)*附加税税率-N18-N19)*所得税税率),0)</f>
        <v>716.7078448350544</v>
      </c>
      <c r="O20" s="433">
        <f>IFERROR(MAX(0,(收入测算!R89/(1+增值税适用税率)*15%-O14-O16-(收入测算!R89/(1+增值税适用税率)*增值税预交税率)/(1+附加税税率)*附加税税率-O18-O19)*所得税税率),0)</f>
        <v>444.30341738841906</v>
      </c>
      <c r="P20" s="433">
        <f>IFERROR(MAX(0,(收入测算!S89/(1+增值税适用税率)*15%-P14-P16-(收入测算!S89/(1+增值税适用税率)*增值税预交税率)/(1+附加税税率)*附加税税率-P18-P19)*所得税税率),0)</f>
        <v>341.31519913884767</v>
      </c>
      <c r="Q20" s="433">
        <f>0</f>
        <v>0</v>
      </c>
      <c r="R20" s="433">
        <f>0</f>
        <v>0</v>
      </c>
      <c r="S20" s="433">
        <f>0</f>
        <v>0</v>
      </c>
      <c r="T20" s="433">
        <f>IF($C20&gt;SUM($E20:S20),$C20-SUM($E20:S20),0)</f>
        <v>0</v>
      </c>
    </row>
    <row r="21" spans="1:20" s="193" customFormat="1" ht="18" customHeight="1">
      <c r="A21" s="439" t="s">
        <v>773</v>
      </c>
      <c r="B21" s="446" t="s">
        <v>774</v>
      </c>
      <c r="C21" s="441">
        <f>SUM(D21:T21)</f>
        <v>444402.33724474127</v>
      </c>
      <c r="D21" s="442"/>
      <c r="E21" s="443">
        <f>IF(COLUMN()-4&lt;17,E3+E14+E16+E17+E18+E19+E20,E3+E14+E16+E17+E18)</f>
        <v>138845.08038644737</v>
      </c>
      <c r="F21" s="443">
        <f t="shared" ref="F21:T21" si="6">IF(COLUMN()-4&lt;17,F3+F14+F16+F17+F18+F19+F20,F3+F14+F16+F17+F18)</f>
        <v>168189.9919199768</v>
      </c>
      <c r="G21" s="443">
        <f t="shared" si="6"/>
        <v>12555.175558769502</v>
      </c>
      <c r="H21" s="443">
        <f t="shared" si="6"/>
        <v>12095.379340925199</v>
      </c>
      <c r="I21" s="443">
        <f t="shared" si="6"/>
        <v>12745.61516881731</v>
      </c>
      <c r="J21" s="443">
        <f t="shared" si="6"/>
        <v>25441.051904138018</v>
      </c>
      <c r="K21" s="443">
        <f t="shared" si="6"/>
        <v>15123.50392921598</v>
      </c>
      <c r="L21" s="443">
        <f t="shared" si="6"/>
        <v>11083.876670184818</v>
      </c>
      <c r="M21" s="443">
        <f t="shared" si="6"/>
        <v>16606.3745625341</v>
      </c>
      <c r="N21" s="443">
        <f t="shared" si="6"/>
        <v>11434.60842021781</v>
      </c>
      <c r="O21" s="443">
        <f t="shared" si="6"/>
        <v>12682.156404317213</v>
      </c>
      <c r="P21" s="443">
        <f t="shared" si="6"/>
        <v>10746.122098450598</v>
      </c>
      <c r="Q21" s="443">
        <f t="shared" si="6"/>
        <v>1131.6271597868631</v>
      </c>
      <c r="R21" s="443">
        <f t="shared" si="6"/>
        <v>876.23208282356052</v>
      </c>
      <c r="S21" s="443">
        <f t="shared" si="6"/>
        <v>354.30754128714545</v>
      </c>
      <c r="T21" s="443">
        <f t="shared" si="6"/>
        <v>-5508.765903151063</v>
      </c>
    </row>
    <row r="22" spans="1:20" ht="18" customHeight="1">
      <c r="A22" s="424" t="s">
        <v>775</v>
      </c>
      <c r="B22" s="445" t="s">
        <v>776</v>
      </c>
      <c r="C22" s="437"/>
      <c r="D22" s="435"/>
      <c r="E22" s="428">
        <f>E21-E30</f>
        <v>138845.08038644737</v>
      </c>
      <c r="F22" s="428">
        <f t="shared" ref="F22:T22" si="7">F21-F30</f>
        <v>168189.9919199768</v>
      </c>
      <c r="G22" s="428">
        <f t="shared" si="7"/>
        <v>-10849.7066172305</v>
      </c>
      <c r="H22" s="428">
        <f t="shared" si="7"/>
        <v>-7408.689139074806</v>
      </c>
      <c r="I22" s="428">
        <f t="shared" si="7"/>
        <v>-12609.673855182691</v>
      </c>
      <c r="J22" s="428">
        <f t="shared" si="7"/>
        <v>-122771.40631586198</v>
      </c>
      <c r="K22" s="428">
        <f t="shared" si="7"/>
        <v>2015.8747532159923</v>
      </c>
      <c r="L22" s="428">
        <f t="shared" si="7"/>
        <v>-46148.917535815184</v>
      </c>
      <c r="M22" s="428">
        <f t="shared" si="7"/>
        <v>-46207.295497465908</v>
      </c>
      <c r="N22" s="428">
        <f t="shared" si="7"/>
        <v>-27369.213539782191</v>
      </c>
      <c r="O22" s="428">
        <f t="shared" si="7"/>
        <v>-13041.88669568279</v>
      </c>
      <c r="P22" s="428">
        <f t="shared" si="7"/>
        <v>-31688.533896549401</v>
      </c>
      <c r="Q22" s="428">
        <f t="shared" si="7"/>
        <v>-18850.993203213136</v>
      </c>
      <c r="R22" s="428">
        <f t="shared" si="7"/>
        <v>-9891.9021571764388</v>
      </c>
      <c r="S22" s="428">
        <f t="shared" si="7"/>
        <v>-421.82245871285465</v>
      </c>
      <c r="T22" s="428">
        <f t="shared" si="7"/>
        <v>-5896.8309031510653</v>
      </c>
    </row>
    <row r="23" spans="1:20" ht="18" customHeight="1">
      <c r="A23" s="429" t="s">
        <v>777</v>
      </c>
      <c r="B23" s="447" t="s">
        <v>778</v>
      </c>
      <c r="C23" s="448"/>
      <c r="D23" s="432"/>
      <c r="E23" s="433">
        <f>D23+E27-E37</f>
        <v>140900</v>
      </c>
      <c r="F23" s="433">
        <f>E23+F27-F37</f>
        <v>313400</v>
      </c>
      <c r="G23" s="433">
        <f t="shared" ref="G23:T23" si="8">F23+G27-G37</f>
        <v>161200</v>
      </c>
      <c r="H23" s="433">
        <f t="shared" si="8"/>
        <v>156600</v>
      </c>
      <c r="I23" s="433">
        <f t="shared" si="8"/>
        <v>147500</v>
      </c>
      <c r="J23" s="433">
        <f t="shared" si="8"/>
        <v>28000</v>
      </c>
      <c r="K23" s="433">
        <f t="shared" si="8"/>
        <v>30200</v>
      </c>
      <c r="L23" s="433">
        <f t="shared" si="8"/>
        <v>0</v>
      </c>
      <c r="M23" s="433">
        <f t="shared" si="8"/>
        <v>0</v>
      </c>
      <c r="N23" s="433">
        <f t="shared" si="8"/>
        <v>0</v>
      </c>
      <c r="O23" s="433">
        <f t="shared" si="8"/>
        <v>0</v>
      </c>
      <c r="P23" s="433">
        <f t="shared" si="8"/>
        <v>0</v>
      </c>
      <c r="Q23" s="433">
        <f t="shared" si="8"/>
        <v>0</v>
      </c>
      <c r="R23" s="433">
        <f t="shared" si="8"/>
        <v>0</v>
      </c>
      <c r="S23" s="433">
        <f t="shared" si="8"/>
        <v>0</v>
      </c>
      <c r="T23" s="433">
        <f t="shared" si="8"/>
        <v>0</v>
      </c>
    </row>
    <row r="24" spans="1:20" ht="18" customHeight="1">
      <c r="A24" s="424" t="s">
        <v>779</v>
      </c>
      <c r="B24" s="449" t="s">
        <v>780</v>
      </c>
      <c r="C24" s="450"/>
      <c r="D24" s="435"/>
      <c r="E24" s="428">
        <f>D24+E29-E38</f>
        <v>0</v>
      </c>
      <c r="F24" s="428">
        <f t="shared" ref="F24:T24" si="9">E24+F29-F38</f>
        <v>0</v>
      </c>
      <c r="G24" s="428">
        <f t="shared" si="9"/>
        <v>145600</v>
      </c>
      <c r="H24" s="428">
        <f t="shared" si="9"/>
        <v>145600</v>
      </c>
      <c r="I24" s="428">
        <f t="shared" si="9"/>
        <v>145600</v>
      </c>
      <c r="J24" s="428">
        <f t="shared" si="9"/>
        <v>145600</v>
      </c>
      <c r="K24" s="428">
        <f t="shared" si="9"/>
        <v>145600</v>
      </c>
      <c r="L24" s="428">
        <f t="shared" si="9"/>
        <v>145600</v>
      </c>
      <c r="M24" s="428">
        <f t="shared" si="9"/>
        <v>145600</v>
      </c>
      <c r="N24" s="428">
        <f t="shared" si="9"/>
        <v>145600</v>
      </c>
      <c r="O24" s="428">
        <f t="shared" si="9"/>
        <v>47600</v>
      </c>
      <c r="P24" s="428">
        <f t="shared" si="9"/>
        <v>47600</v>
      </c>
      <c r="Q24" s="428">
        <f t="shared" si="9"/>
        <v>47600</v>
      </c>
      <c r="R24" s="428">
        <f t="shared" si="9"/>
        <v>47600</v>
      </c>
      <c r="S24" s="428">
        <f t="shared" si="9"/>
        <v>0</v>
      </c>
      <c r="T24" s="428">
        <f t="shared" si="9"/>
        <v>0</v>
      </c>
    </row>
    <row r="25" spans="1:20" s="193" customFormat="1" ht="18" customHeight="1">
      <c r="A25" s="439" t="s">
        <v>781</v>
      </c>
      <c r="B25" s="451" t="s">
        <v>782</v>
      </c>
      <c r="C25" s="452">
        <f>C26+C27+C28+C29+C30</f>
        <v>949708.26199999999</v>
      </c>
      <c r="D25" s="442"/>
      <c r="E25" s="443">
        <f>E26+E27+E28+E29+E30</f>
        <v>140900</v>
      </c>
      <c r="F25" s="443">
        <f>F26+F27+F28+F29+F30</f>
        <v>172500</v>
      </c>
      <c r="G25" s="443">
        <f t="shared" ref="G25:T25" si="10">G26+G27+G28+G29+G30</f>
        <v>169004.88217600001</v>
      </c>
      <c r="H25" s="443">
        <f t="shared" si="10"/>
        <v>19504.068480000005</v>
      </c>
      <c r="I25" s="443">
        <f t="shared" si="10"/>
        <v>25355.289024000002</v>
      </c>
      <c r="J25" s="443">
        <f t="shared" si="10"/>
        <v>148212.45822</v>
      </c>
      <c r="K25" s="443">
        <f t="shared" si="10"/>
        <v>160907.62917599999</v>
      </c>
      <c r="L25" s="443">
        <f t="shared" si="10"/>
        <v>57232.794206000006</v>
      </c>
      <c r="M25" s="443">
        <f t="shared" si="10"/>
        <v>62813.670060000004</v>
      </c>
      <c r="N25" s="443">
        <f t="shared" si="10"/>
        <v>38803.821960000001</v>
      </c>
      <c r="O25" s="443">
        <f t="shared" si="10"/>
        <v>73324.04310000001</v>
      </c>
      <c r="P25" s="443">
        <f t="shared" si="10"/>
        <v>42434.655995000001</v>
      </c>
      <c r="Q25" s="443">
        <f t="shared" si="10"/>
        <v>19982.620362999998</v>
      </c>
      <c r="R25" s="443">
        <f t="shared" si="10"/>
        <v>10768.134239999999</v>
      </c>
      <c r="S25" s="443">
        <f t="shared" si="10"/>
        <v>776.13000000000011</v>
      </c>
      <c r="T25" s="443">
        <f t="shared" si="10"/>
        <v>388.06500000000187</v>
      </c>
    </row>
    <row r="26" spans="1:20" ht="18" customHeight="1">
      <c r="A26" s="429" t="s">
        <v>783</v>
      </c>
      <c r="B26" s="447" t="s">
        <v>784</v>
      </c>
      <c r="C26" s="448">
        <f>SUM(D26:T26)</f>
        <v>0</v>
      </c>
      <c r="D26" s="432"/>
      <c r="E26" s="433">
        <f>IF(0%&gt;0,ROUNDUP((全直开+管理费+销售费+增值税及附加+其他税)*0%,-2),0)</f>
        <v>0</v>
      </c>
      <c r="F26" s="433"/>
      <c r="G26" s="433"/>
      <c r="H26" s="433"/>
      <c r="I26" s="433"/>
      <c r="J26" s="433"/>
      <c r="K26" s="433"/>
      <c r="L26" s="433"/>
      <c r="M26" s="433"/>
      <c r="N26" s="433"/>
      <c r="O26" s="433"/>
      <c r="P26" s="433"/>
      <c r="Q26" s="433"/>
      <c r="R26" s="433"/>
      <c r="S26" s="433"/>
      <c r="T26" s="431"/>
    </row>
    <row r="27" spans="1:20" ht="18" customHeight="1">
      <c r="A27" s="424" t="s">
        <v>785</v>
      </c>
      <c r="B27" s="449" t="s">
        <v>786</v>
      </c>
      <c r="C27" s="450">
        <f>SUM(D27:T27)</f>
        <v>315600</v>
      </c>
      <c r="D27" s="435"/>
      <c r="E27" s="428">
        <f t="shared" ref="E27:S27" si="11">IF(E22+E36+E34-E29-E26-D41+(D23-E37)*股东借款利率/4&gt;0,ROUNDUP((E22+E36+E34-E29-E26-D41+(D23-E37)*股东借款利率/4+100)/(1-股东借款利率/4),-2),0)</f>
        <v>140900</v>
      </c>
      <c r="F27" s="428">
        <f t="shared" si="11"/>
        <v>172500</v>
      </c>
      <c r="G27" s="428">
        <f t="shared" si="11"/>
        <v>0</v>
      </c>
      <c r="H27" s="428">
        <f t="shared" si="11"/>
        <v>0</v>
      </c>
      <c r="I27" s="428">
        <f t="shared" si="11"/>
        <v>0</v>
      </c>
      <c r="J27" s="428">
        <f t="shared" si="11"/>
        <v>0</v>
      </c>
      <c r="K27" s="428">
        <f t="shared" si="11"/>
        <v>2200</v>
      </c>
      <c r="L27" s="428">
        <f t="shared" si="11"/>
        <v>0</v>
      </c>
      <c r="M27" s="428">
        <f t="shared" si="11"/>
        <v>0</v>
      </c>
      <c r="N27" s="428">
        <f t="shared" si="11"/>
        <v>0</v>
      </c>
      <c r="O27" s="428">
        <f t="shared" si="11"/>
        <v>0</v>
      </c>
      <c r="P27" s="428">
        <f t="shared" si="11"/>
        <v>0</v>
      </c>
      <c r="Q27" s="428">
        <f t="shared" si="11"/>
        <v>0</v>
      </c>
      <c r="R27" s="428">
        <f t="shared" si="11"/>
        <v>0</v>
      </c>
      <c r="S27" s="428">
        <f t="shared" si="11"/>
        <v>0</v>
      </c>
      <c r="T27" s="428"/>
    </row>
    <row r="28" spans="1:20" ht="18" customHeight="1">
      <c r="A28" s="429" t="s">
        <v>787</v>
      </c>
      <c r="B28" s="447" t="s">
        <v>788</v>
      </c>
      <c r="C28" s="448">
        <f>SUM(D28:T28)</f>
        <v>0</v>
      </c>
      <c r="D28" s="432"/>
      <c r="E28" s="433"/>
      <c r="F28" s="433"/>
      <c r="G28" s="433"/>
      <c r="H28" s="433"/>
      <c r="I28" s="433"/>
      <c r="J28" s="433"/>
      <c r="K28" s="433"/>
      <c r="L28" s="433"/>
      <c r="M28" s="433"/>
      <c r="N28" s="433"/>
      <c r="O28" s="433"/>
      <c r="P28" s="433"/>
      <c r="Q28" s="433"/>
      <c r="R28" s="433"/>
      <c r="S28" s="433"/>
      <c r="T28" s="431"/>
    </row>
    <row r="29" spans="1:20" ht="18" customHeight="1">
      <c r="A29" s="424" t="s">
        <v>789</v>
      </c>
      <c r="B29" s="449" t="s">
        <v>790</v>
      </c>
      <c r="C29" s="450">
        <f>MAX(D29:T29)</f>
        <v>145600</v>
      </c>
      <c r="D29" s="435"/>
      <c r="E29" s="428"/>
      <c r="F29" s="428"/>
      <c r="G29" s="428">
        <f>IF(SUM(G22:J22)&lt;0,IF(G22-F41+F23+F24&lt;=0,0,IF(1.2*纯直开&lt;ROUNDUP(G22-F41+F23+F24,-2),ROUNDUP(1.2*纯直开/(1-贷款利率/4)+100,-2),ROUNDUP((G22-F41+F23+F24+SUMIF(H22:J22,"&gt;0"))/(1-贷款利率/IF(COUNTIF(H22:J22,"&gt;0")=0,4,2))+100*IF(COUNTIF(G22:J22,"&gt;0")=0,1,COUNTIF(G22:J22,"&gt;0")),-2))),IF(SUM(G22:J22)-F41+F23+F24&lt;=0,0,IF(1.2*纯直开&lt;ROUNDUP(SUM(G22:J22)-F41+F23+F24,-2),ROUNDUP(1.2*纯直开/(1-贷款利率)+100,-2),ROUNDUP((SUM(G22:J22)-F41+F23+F24)/(1-贷款利率/4)+100*COUNTIF(G22:J22,"&gt;0"),-2))))</f>
        <v>145600</v>
      </c>
      <c r="H29" s="428"/>
      <c r="I29" s="428"/>
      <c r="J29" s="428"/>
      <c r="K29" s="428">
        <f>IF(SUM(K22:N22)&lt;0,IF(K22-J41+J23+J24&lt;=0,0,IF(1.2*纯直开&lt;ROUNDUP(K22-J41+J23+J24,-2),ROUNDUP(1.2*纯直开/(1-贷款利率/4)+100,-2),ROUNDUP((K22-J41+J23+J24+SUMIF(L22:N22,"&gt;0"))/(1-贷款利率/IF(COUNTIF(L22:N22,"&gt;0")=0,4,2))+100*IF(COUNTIF(K22:N22,"&gt;0")=0,1,COUNTIF(K22:N22,"&gt;0")),-2))),IF(SUM(K22:N22)-J41+J23+J24&lt;=0,0,IF(1.2*纯直开&lt;ROUNDUP(SUM(K22:N22)-J41+J23+J24,-2),ROUNDUP(1.2*纯直开/(1-贷款利率)+100,-2),ROUNDUP((SUM(K22:N22)-J41+J23+J24)/(1-贷款利率/4)+100*COUNTIF(K22:N22,"&gt;0"),-2))))</f>
        <v>145600</v>
      </c>
      <c r="L29" s="428"/>
      <c r="M29" s="428"/>
      <c r="N29" s="428"/>
      <c r="O29" s="428">
        <f>IF(SUM(O22:R22)&lt;0,IF(O22-N41+N23+N24&lt;=0,0,IF(1.2*纯直开&lt;ROUNDUP(O22-N41+N23+N24,-2),ROUNDUP(1.2*纯直开/(1-贷款利率/4)+100,-2),ROUNDUP((O22-N41+N23+N24+SUMIF(P22:R22,"&gt;0"))/(1-贷款利率/IF(COUNTIF(P22:R22,"&gt;0")=0,4,2))+100*IF(COUNTIF(O22:R22,"&gt;0")=0,1,COUNTIF(O22:R22,"&gt;0")),-2))),IF(SUM(O22:R22)-N41+N23+N24&lt;=0,0,IF(1.2*纯直开&lt;ROUNDUP(SUM(O22:R22)-N41+N23+N24,-2),ROUNDUP(1.2*纯直开/(1-贷款利率)+100,-2),ROUNDUP((SUM(O22:R22)-N41+N23+N24)/(1-贷款利率/4)+100*COUNTIF(O22:R22,"&gt;0"),-2))))</f>
        <v>47600</v>
      </c>
      <c r="P29" s="428"/>
      <c r="Q29" s="428"/>
      <c r="R29" s="428"/>
      <c r="S29" s="428">
        <f>IF(SUM(S22:$S22)&lt;0,IF(S22-R41+R23+R24&lt;=0,0,IF(1.2*纯直开&lt;ROUNDUP(S22-R41+R23+R24,-2),ROUNDUP(1.2*纯直开/(1-贷款利率/4)+100,-2),ROUNDUP((S22-R41+R23+R24+SUMIF($S22:$S22,"&gt;0"))/(1-贷款利率/IF(COUNTIF($S22:$S22,"&gt;0")=0,4,2))+100*IF(COUNTIF(S22:$S22,"&gt;0")=0,1,COUNTIF(S22:$S22,"&gt;0")),-2))),IF(SUM(S22:$S22)-R41+R23+R24&lt;=0,0,IF(1.2*纯直开&lt;ROUNDUP(SUM(S22:$S22)-R41+R23+R24,-2),ROUNDUP(1.2*纯直开/(1-贷款利率)+100,-2),ROUNDUP((SUM(S22:$S22)-R41+R23+R24)/(1-贷款利率/4)+100*COUNTIF(S22:$S22,"&gt;0"),-2))))</f>
        <v>0</v>
      </c>
      <c r="T29" s="426"/>
    </row>
    <row r="30" spans="1:20" ht="18" customHeight="1">
      <c r="A30" s="429" t="s">
        <v>791</v>
      </c>
      <c r="B30" s="447" t="s">
        <v>792</v>
      </c>
      <c r="C30" s="448">
        <f>总销售收入</f>
        <v>488508.26199999999</v>
      </c>
      <c r="D30" s="432"/>
      <c r="E30" s="433">
        <f>收入测算!H92</f>
        <v>0</v>
      </c>
      <c r="F30" s="433">
        <f>收入测算!I92</f>
        <v>0</v>
      </c>
      <c r="G30" s="433">
        <f>收入测算!J92</f>
        <v>23404.882176000003</v>
      </c>
      <c r="H30" s="433">
        <f>收入测算!K92</f>
        <v>19504.068480000005</v>
      </c>
      <c r="I30" s="433">
        <f>收入测算!L92</f>
        <v>25355.289024000002</v>
      </c>
      <c r="J30" s="433">
        <f>收入测算!M92</f>
        <v>148212.45822</v>
      </c>
      <c r="K30" s="433">
        <f>收入测算!N92</f>
        <v>13107.629175999988</v>
      </c>
      <c r="L30" s="433">
        <f>收入测算!O92</f>
        <v>57232.794206000006</v>
      </c>
      <c r="M30" s="433">
        <f>收入测算!P92</f>
        <v>62813.670060000004</v>
      </c>
      <c r="N30" s="433">
        <f>收入测算!Q92</f>
        <v>38803.821960000001</v>
      </c>
      <c r="O30" s="433">
        <f>收入测算!R92</f>
        <v>25724.043100000003</v>
      </c>
      <c r="P30" s="433">
        <f>收入测算!S92</f>
        <v>42434.655995000001</v>
      </c>
      <c r="Q30" s="433">
        <f>收入测算!T92</f>
        <v>19982.620362999998</v>
      </c>
      <c r="R30" s="433">
        <f>收入测算!U92</f>
        <v>10768.134239999999</v>
      </c>
      <c r="S30" s="433">
        <f>收入测算!V92</f>
        <v>776.13000000000011</v>
      </c>
      <c r="T30" s="433">
        <f>收入测算!W92</f>
        <v>388.06500000000187</v>
      </c>
    </row>
    <row r="31" spans="1:20" s="193" customFormat="1" ht="18" customHeight="1">
      <c r="A31" s="439" t="s">
        <v>793</v>
      </c>
      <c r="B31" s="451" t="s">
        <v>794</v>
      </c>
      <c r="C31" s="452">
        <f>C25-C21</f>
        <v>505305.92475525872</v>
      </c>
      <c r="D31" s="442"/>
      <c r="E31" s="443">
        <f>E25-E21</f>
        <v>2054.919613552629</v>
      </c>
      <c r="F31" s="443">
        <f t="shared" ref="F31:T31" si="12">F25-F21</f>
        <v>4310.0080800231954</v>
      </c>
      <c r="G31" s="443">
        <f t="shared" si="12"/>
        <v>156449.70661723052</v>
      </c>
      <c r="H31" s="443">
        <f t="shared" si="12"/>
        <v>7408.689139074806</v>
      </c>
      <c r="I31" s="443">
        <f t="shared" si="12"/>
        <v>12609.673855182691</v>
      </c>
      <c r="J31" s="443">
        <f t="shared" si="12"/>
        <v>122771.40631586198</v>
      </c>
      <c r="K31" s="443">
        <f t="shared" si="12"/>
        <v>145784.12524678401</v>
      </c>
      <c r="L31" s="443">
        <f t="shared" si="12"/>
        <v>46148.917535815184</v>
      </c>
      <c r="M31" s="443">
        <f t="shared" si="12"/>
        <v>46207.295497465908</v>
      </c>
      <c r="N31" s="443">
        <f t="shared" si="12"/>
        <v>27369.213539782191</v>
      </c>
      <c r="O31" s="443">
        <f t="shared" si="12"/>
        <v>60641.886695682799</v>
      </c>
      <c r="P31" s="443">
        <f t="shared" si="12"/>
        <v>31688.533896549401</v>
      </c>
      <c r="Q31" s="443">
        <f t="shared" si="12"/>
        <v>18850.993203213136</v>
      </c>
      <c r="R31" s="443">
        <f t="shared" si="12"/>
        <v>9891.9021571764388</v>
      </c>
      <c r="S31" s="443">
        <f t="shared" si="12"/>
        <v>421.82245871285465</v>
      </c>
      <c r="T31" s="443">
        <f t="shared" si="12"/>
        <v>5896.8309031510653</v>
      </c>
    </row>
    <row r="32" spans="1:20" ht="18" customHeight="1">
      <c r="A32" s="424" t="s">
        <v>795</v>
      </c>
      <c r="B32" s="449" t="s">
        <v>796</v>
      </c>
      <c r="C32" s="426">
        <f>C33+C34+C35</f>
        <v>26149.75</v>
      </c>
      <c r="D32" s="435"/>
      <c r="E32" s="428">
        <f>E33+E34+E35</f>
        <v>1937.375</v>
      </c>
      <c r="F32" s="428">
        <f t="shared" ref="F32:T32" si="13">F33+F34+F35</f>
        <v>4309.25</v>
      </c>
      <c r="G32" s="428">
        <f t="shared" si="13"/>
        <v>3581.5</v>
      </c>
      <c r="H32" s="428">
        <f t="shared" si="13"/>
        <v>3518.25</v>
      </c>
      <c r="I32" s="428">
        <f t="shared" si="13"/>
        <v>3393.125</v>
      </c>
      <c r="J32" s="428">
        <f t="shared" si="13"/>
        <v>1750</v>
      </c>
      <c r="K32" s="428">
        <f t="shared" si="13"/>
        <v>1780.25</v>
      </c>
      <c r="L32" s="428">
        <f t="shared" si="13"/>
        <v>1365</v>
      </c>
      <c r="M32" s="428">
        <f t="shared" si="13"/>
        <v>1365</v>
      </c>
      <c r="N32" s="428">
        <f t="shared" si="13"/>
        <v>1365</v>
      </c>
      <c r="O32" s="428">
        <f t="shared" si="13"/>
        <v>446.25</v>
      </c>
      <c r="P32" s="428">
        <f t="shared" si="13"/>
        <v>446.25</v>
      </c>
      <c r="Q32" s="428">
        <f t="shared" si="13"/>
        <v>446.25</v>
      </c>
      <c r="R32" s="428">
        <f t="shared" si="13"/>
        <v>446.25</v>
      </c>
      <c r="S32" s="428">
        <f t="shared" si="13"/>
        <v>0</v>
      </c>
      <c r="T32" s="428">
        <f t="shared" si="13"/>
        <v>0</v>
      </c>
    </row>
    <row r="33" spans="1:20" ht="18" customHeight="1">
      <c r="A33" s="429" t="s">
        <v>797</v>
      </c>
      <c r="B33" s="447" t="s">
        <v>798</v>
      </c>
      <c r="C33" s="448">
        <f>SUM(D33:T33)</f>
        <v>13444.75</v>
      </c>
      <c r="D33" s="432"/>
      <c r="E33" s="433">
        <f t="shared" ref="E33:S33" si="14">IFERROR(E23*股东借款利率/4,0)</f>
        <v>1937.375</v>
      </c>
      <c r="F33" s="433">
        <f t="shared" si="14"/>
        <v>4309.25</v>
      </c>
      <c r="G33" s="433">
        <f t="shared" si="14"/>
        <v>2216.5</v>
      </c>
      <c r="H33" s="433">
        <f t="shared" si="14"/>
        <v>2153.25</v>
      </c>
      <c r="I33" s="433">
        <f t="shared" si="14"/>
        <v>2028.125</v>
      </c>
      <c r="J33" s="433">
        <f t="shared" si="14"/>
        <v>385</v>
      </c>
      <c r="K33" s="433">
        <f t="shared" si="14"/>
        <v>415.25</v>
      </c>
      <c r="L33" s="433">
        <f t="shared" si="14"/>
        <v>0</v>
      </c>
      <c r="M33" s="433">
        <f t="shared" si="14"/>
        <v>0</v>
      </c>
      <c r="N33" s="433">
        <f t="shared" si="14"/>
        <v>0</v>
      </c>
      <c r="O33" s="433">
        <f t="shared" si="14"/>
        <v>0</v>
      </c>
      <c r="P33" s="433">
        <f t="shared" si="14"/>
        <v>0</v>
      </c>
      <c r="Q33" s="433">
        <f t="shared" si="14"/>
        <v>0</v>
      </c>
      <c r="R33" s="433">
        <f t="shared" si="14"/>
        <v>0</v>
      </c>
      <c r="S33" s="433">
        <f t="shared" si="14"/>
        <v>0</v>
      </c>
      <c r="T33" s="433"/>
    </row>
    <row r="34" spans="1:20" ht="18" customHeight="1">
      <c r="A34" s="424" t="s">
        <v>799</v>
      </c>
      <c r="B34" s="449" t="s">
        <v>800</v>
      </c>
      <c r="C34" s="450">
        <f>SUM(D34:T34)</f>
        <v>12705</v>
      </c>
      <c r="D34" s="435"/>
      <c r="E34" s="428">
        <f t="shared" ref="E34:T34" si="15">IFERROR(E24*贷款利率/4,0)</f>
        <v>0</v>
      </c>
      <c r="F34" s="428">
        <f t="shared" si="15"/>
        <v>0</v>
      </c>
      <c r="G34" s="428">
        <f t="shared" si="15"/>
        <v>1365</v>
      </c>
      <c r="H34" s="428">
        <f t="shared" si="15"/>
        <v>1365</v>
      </c>
      <c r="I34" s="428">
        <f t="shared" si="15"/>
        <v>1365</v>
      </c>
      <c r="J34" s="428">
        <f t="shared" si="15"/>
        <v>1365</v>
      </c>
      <c r="K34" s="428">
        <f t="shared" si="15"/>
        <v>1365</v>
      </c>
      <c r="L34" s="428">
        <f t="shared" si="15"/>
        <v>1365</v>
      </c>
      <c r="M34" s="428">
        <f t="shared" si="15"/>
        <v>1365</v>
      </c>
      <c r="N34" s="428">
        <f t="shared" si="15"/>
        <v>1365</v>
      </c>
      <c r="O34" s="428">
        <f t="shared" si="15"/>
        <v>446.25</v>
      </c>
      <c r="P34" s="428">
        <f t="shared" si="15"/>
        <v>446.25</v>
      </c>
      <c r="Q34" s="428">
        <f t="shared" si="15"/>
        <v>446.25</v>
      </c>
      <c r="R34" s="428">
        <f t="shared" si="15"/>
        <v>446.25</v>
      </c>
      <c r="S34" s="428">
        <f t="shared" si="15"/>
        <v>0</v>
      </c>
      <c r="T34" s="428">
        <f t="shared" si="15"/>
        <v>0</v>
      </c>
    </row>
    <row r="35" spans="1:20" ht="18" customHeight="1">
      <c r="A35" s="429" t="s">
        <v>801</v>
      </c>
      <c r="B35" s="447" t="s">
        <v>802</v>
      </c>
      <c r="C35" s="448">
        <f>SUM(D35:T35)</f>
        <v>0</v>
      </c>
      <c r="D35" s="432"/>
      <c r="E35" s="433"/>
      <c r="F35" s="433"/>
      <c r="G35" s="433"/>
      <c r="H35" s="433"/>
      <c r="I35" s="433"/>
      <c r="J35" s="433"/>
      <c r="K35" s="433"/>
      <c r="L35" s="433"/>
      <c r="M35" s="433"/>
      <c r="N35" s="433"/>
      <c r="O35" s="433"/>
      <c r="P35" s="433"/>
      <c r="Q35" s="433"/>
      <c r="R35" s="433"/>
      <c r="S35" s="433"/>
      <c r="T35" s="431"/>
    </row>
    <row r="36" spans="1:20" ht="18" customHeight="1">
      <c r="A36" s="424" t="s">
        <v>803</v>
      </c>
      <c r="B36" s="449" t="s">
        <v>804</v>
      </c>
      <c r="C36" s="426">
        <f>C37+C38+C39</f>
        <v>461200</v>
      </c>
      <c r="D36" s="435"/>
      <c r="E36" s="428">
        <f>E37+E38+E39</f>
        <v>0</v>
      </c>
      <c r="F36" s="428">
        <f t="shared" ref="F36:T36" si="16">F37+F38+F39</f>
        <v>0</v>
      </c>
      <c r="G36" s="428">
        <f t="shared" si="16"/>
        <v>152200</v>
      </c>
      <c r="H36" s="428">
        <f t="shared" si="16"/>
        <v>4600</v>
      </c>
      <c r="I36" s="428">
        <f t="shared" si="16"/>
        <v>9100</v>
      </c>
      <c r="J36" s="428">
        <f t="shared" si="16"/>
        <v>119500</v>
      </c>
      <c r="K36" s="428">
        <f t="shared" si="16"/>
        <v>145600</v>
      </c>
      <c r="L36" s="428">
        <f t="shared" si="16"/>
        <v>30200</v>
      </c>
      <c r="M36" s="428">
        <f t="shared" si="16"/>
        <v>0</v>
      </c>
      <c r="N36" s="428">
        <f t="shared" si="16"/>
        <v>0</v>
      </c>
      <c r="O36" s="428">
        <f t="shared" si="16"/>
        <v>145600</v>
      </c>
      <c r="P36" s="428">
        <f t="shared" si="16"/>
        <v>0</v>
      </c>
      <c r="Q36" s="428">
        <f t="shared" si="16"/>
        <v>0</v>
      </c>
      <c r="R36" s="428">
        <f t="shared" si="16"/>
        <v>0</v>
      </c>
      <c r="S36" s="428">
        <f t="shared" si="16"/>
        <v>47600</v>
      </c>
      <c r="T36" s="428">
        <f t="shared" si="16"/>
        <v>0</v>
      </c>
    </row>
    <row r="37" spans="1:20" ht="18" customHeight="1">
      <c r="A37" s="429" t="s">
        <v>805</v>
      </c>
      <c r="B37" s="447" t="s">
        <v>806</v>
      </c>
      <c r="C37" s="448">
        <f>SUM(D37:T37)</f>
        <v>315600</v>
      </c>
      <c r="D37" s="432"/>
      <c r="E37" s="433">
        <f t="shared" ref="E37:S37" si="17">IFERROR(IF(D41+E29-E38-E22-D23*股东借款利率/4-D24*贷款利率/4&gt;0,MIN(ROUNDDOWN(D41+E29-E38-E22-D23*股东借款利率/4-D24*贷款利率/4,-2),D23),0),0)</f>
        <v>0</v>
      </c>
      <c r="F37" s="433">
        <f t="shared" si="17"/>
        <v>0</v>
      </c>
      <c r="G37" s="433">
        <f t="shared" si="17"/>
        <v>152200</v>
      </c>
      <c r="H37" s="433">
        <f t="shared" si="17"/>
        <v>4600</v>
      </c>
      <c r="I37" s="433">
        <f t="shared" si="17"/>
        <v>9100</v>
      </c>
      <c r="J37" s="433">
        <f t="shared" si="17"/>
        <v>119500</v>
      </c>
      <c r="K37" s="433">
        <f t="shared" si="17"/>
        <v>0</v>
      </c>
      <c r="L37" s="433">
        <f t="shared" si="17"/>
        <v>30200</v>
      </c>
      <c r="M37" s="433">
        <f t="shared" si="17"/>
        <v>0</v>
      </c>
      <c r="N37" s="433">
        <f t="shared" si="17"/>
        <v>0</v>
      </c>
      <c r="O37" s="433">
        <f t="shared" si="17"/>
        <v>0</v>
      </c>
      <c r="P37" s="433">
        <f t="shared" si="17"/>
        <v>0</v>
      </c>
      <c r="Q37" s="433">
        <f t="shared" si="17"/>
        <v>0</v>
      </c>
      <c r="R37" s="433">
        <f t="shared" si="17"/>
        <v>0</v>
      </c>
      <c r="S37" s="433">
        <f t="shared" si="17"/>
        <v>0</v>
      </c>
      <c r="T37" s="433"/>
    </row>
    <row r="38" spans="1:20" ht="18" customHeight="1">
      <c r="A38" s="424" t="s">
        <v>807</v>
      </c>
      <c r="B38" s="449" t="s">
        <v>808</v>
      </c>
      <c r="C38" s="450">
        <f>MAX(D38:T38)</f>
        <v>145600</v>
      </c>
      <c r="D38" s="435"/>
      <c r="E38" s="428"/>
      <c r="F38" s="428"/>
      <c r="G38" s="428">
        <f>F24</f>
        <v>0</v>
      </c>
      <c r="H38" s="428"/>
      <c r="I38" s="428"/>
      <c r="J38" s="428"/>
      <c r="K38" s="428">
        <f>J24</f>
        <v>145600</v>
      </c>
      <c r="L38" s="428"/>
      <c r="M38" s="428"/>
      <c r="N38" s="428"/>
      <c r="O38" s="428">
        <f>N24</f>
        <v>145600</v>
      </c>
      <c r="P38" s="428"/>
      <c r="Q38" s="428"/>
      <c r="R38" s="428"/>
      <c r="S38" s="428">
        <f>R24</f>
        <v>47600</v>
      </c>
      <c r="T38" s="426">
        <f>S24</f>
        <v>0</v>
      </c>
    </row>
    <row r="39" spans="1:20" ht="18" customHeight="1">
      <c r="A39" s="429" t="s">
        <v>809</v>
      </c>
      <c r="B39" s="447" t="s">
        <v>810</v>
      </c>
      <c r="C39" s="448">
        <f>SUM(D39:T39)</f>
        <v>0</v>
      </c>
      <c r="D39" s="432"/>
      <c r="E39" s="433"/>
      <c r="F39" s="433"/>
      <c r="G39" s="433"/>
      <c r="H39" s="433"/>
      <c r="I39" s="433"/>
      <c r="J39" s="433"/>
      <c r="K39" s="433"/>
      <c r="L39" s="433"/>
      <c r="M39" s="433"/>
      <c r="N39" s="433"/>
      <c r="O39" s="433"/>
      <c r="P39" s="433"/>
      <c r="Q39" s="433"/>
      <c r="R39" s="433"/>
      <c r="S39" s="433"/>
      <c r="T39" s="431"/>
    </row>
    <row r="40" spans="1:20" s="193" customFormat="1" ht="18" customHeight="1">
      <c r="A40" s="439" t="s">
        <v>811</v>
      </c>
      <c r="B40" s="451" t="s">
        <v>812</v>
      </c>
      <c r="C40" s="452">
        <f>C31-C32-C36</f>
        <v>17956.174755258719</v>
      </c>
      <c r="D40" s="442"/>
      <c r="E40" s="443">
        <f>IF(COLUMN()-4&lt;17,E31-E32-E36,E31-E32-E36-E20-E19)</f>
        <v>117.54461355262902</v>
      </c>
      <c r="F40" s="443">
        <f t="shared" ref="F40:T40" si="18">IF(COLUMN()-4&lt;17,F31-F32-F36,F31-F32-F36-F20-F19)</f>
        <v>0.75808002319536172</v>
      </c>
      <c r="G40" s="443">
        <f t="shared" si="18"/>
        <v>668.20661723052035</v>
      </c>
      <c r="H40" s="443">
        <f t="shared" si="18"/>
        <v>-709.56086092519399</v>
      </c>
      <c r="I40" s="443">
        <f t="shared" si="18"/>
        <v>116.54885518269111</v>
      </c>
      <c r="J40" s="443">
        <f t="shared" si="18"/>
        <v>1521.4063158619829</v>
      </c>
      <c r="K40" s="443">
        <f t="shared" si="18"/>
        <v>-1596.1247532159905</v>
      </c>
      <c r="L40" s="443">
        <f t="shared" si="18"/>
        <v>14583.917535815184</v>
      </c>
      <c r="M40" s="443">
        <f t="shared" si="18"/>
        <v>44842.295497465908</v>
      </c>
      <c r="N40" s="443">
        <f t="shared" si="18"/>
        <v>26004.213539782191</v>
      </c>
      <c r="O40" s="443">
        <f t="shared" si="18"/>
        <v>-85404.363304317201</v>
      </c>
      <c r="P40" s="443">
        <f t="shared" si="18"/>
        <v>31242.283896549401</v>
      </c>
      <c r="Q40" s="443">
        <f t="shared" si="18"/>
        <v>18404.743203213136</v>
      </c>
      <c r="R40" s="443">
        <f t="shared" si="18"/>
        <v>9445.6521571764388</v>
      </c>
      <c r="S40" s="443">
        <f t="shared" si="18"/>
        <v>-47178.177541287143</v>
      </c>
      <c r="T40" s="443">
        <f t="shared" si="18"/>
        <v>5896.8309031510653</v>
      </c>
    </row>
    <row r="41" spans="1:20" s="193" customFormat="1" ht="18" customHeight="1">
      <c r="A41" s="439" t="s">
        <v>813</v>
      </c>
      <c r="B41" s="451" t="s">
        <v>814</v>
      </c>
      <c r="C41" s="452"/>
      <c r="D41" s="442"/>
      <c r="E41" s="443">
        <f>D41+E40</f>
        <v>117.54461355262902</v>
      </c>
      <c r="F41" s="443">
        <f t="shared" ref="F41:T41" si="19">E41+F40</f>
        <v>118.30269357582438</v>
      </c>
      <c r="G41" s="443">
        <f t="shared" si="19"/>
        <v>786.50931080634473</v>
      </c>
      <c r="H41" s="443">
        <f t="shared" si="19"/>
        <v>76.948449881150736</v>
      </c>
      <c r="I41" s="443">
        <f t="shared" si="19"/>
        <v>193.49730506384185</v>
      </c>
      <c r="J41" s="443">
        <f t="shared" si="19"/>
        <v>1714.9036209258247</v>
      </c>
      <c r="K41" s="443">
        <f t="shared" si="19"/>
        <v>118.77886770983423</v>
      </c>
      <c r="L41" s="443">
        <f t="shared" si="19"/>
        <v>14702.696403525018</v>
      </c>
      <c r="M41" s="443">
        <f t="shared" si="19"/>
        <v>59544.991900990928</v>
      </c>
      <c r="N41" s="443">
        <f t="shared" si="19"/>
        <v>85549.205440773119</v>
      </c>
      <c r="O41" s="443">
        <f t="shared" si="19"/>
        <v>144.84213645591808</v>
      </c>
      <c r="P41" s="443">
        <f t="shared" si="19"/>
        <v>31387.126033005319</v>
      </c>
      <c r="Q41" s="443">
        <f t="shared" si="19"/>
        <v>49791.869236218452</v>
      </c>
      <c r="R41" s="443">
        <f t="shared" si="19"/>
        <v>59237.521393394891</v>
      </c>
      <c r="S41" s="443">
        <f t="shared" si="19"/>
        <v>12059.343852107748</v>
      </c>
      <c r="T41" s="443">
        <f t="shared" si="19"/>
        <v>17956.174755258813</v>
      </c>
    </row>
    <row r="42" spans="1:20" ht="18" customHeight="1">
      <c r="A42" s="424" t="s">
        <v>815</v>
      </c>
      <c r="B42" s="453" t="s">
        <v>816</v>
      </c>
      <c r="C42" s="450"/>
      <c r="D42" s="435"/>
      <c r="E42" s="428">
        <f>IF(COLUMN()-4&lt;17,E30-E21,E30-E21-E20-E19)</f>
        <v>-138845.08038644737</v>
      </c>
      <c r="F42" s="428">
        <f t="shared" ref="F42:T42" si="20">IF(COLUMN()-4&lt;17,F30-F21,F30-F21-F20-F19)</f>
        <v>-168189.9919199768</v>
      </c>
      <c r="G42" s="428">
        <f t="shared" si="20"/>
        <v>10849.7066172305</v>
      </c>
      <c r="H42" s="428">
        <f t="shared" si="20"/>
        <v>7408.689139074806</v>
      </c>
      <c r="I42" s="428">
        <f t="shared" si="20"/>
        <v>12609.673855182691</v>
      </c>
      <c r="J42" s="428">
        <f t="shared" si="20"/>
        <v>122771.40631586198</v>
      </c>
      <c r="K42" s="428">
        <f t="shared" si="20"/>
        <v>-2015.8747532159923</v>
      </c>
      <c r="L42" s="428">
        <f t="shared" si="20"/>
        <v>46148.917535815184</v>
      </c>
      <c r="M42" s="428">
        <f t="shared" si="20"/>
        <v>46207.295497465908</v>
      </c>
      <c r="N42" s="428">
        <f t="shared" si="20"/>
        <v>27369.213539782191</v>
      </c>
      <c r="O42" s="428">
        <f t="shared" si="20"/>
        <v>13041.88669568279</v>
      </c>
      <c r="P42" s="428">
        <f t="shared" si="20"/>
        <v>31688.533896549401</v>
      </c>
      <c r="Q42" s="428">
        <f t="shared" si="20"/>
        <v>18850.993203213136</v>
      </c>
      <c r="R42" s="428">
        <f t="shared" si="20"/>
        <v>9891.9021571764388</v>
      </c>
      <c r="S42" s="428">
        <f t="shared" si="20"/>
        <v>421.82245871285465</v>
      </c>
      <c r="T42" s="428">
        <f t="shared" si="20"/>
        <v>5896.8309031510653</v>
      </c>
    </row>
    <row r="43" spans="1:20" ht="18" customHeight="1">
      <c r="A43" s="429" t="s">
        <v>817</v>
      </c>
      <c r="B43" s="454" t="s">
        <v>818</v>
      </c>
      <c r="C43" s="448"/>
      <c r="D43" s="432"/>
      <c r="E43" s="433">
        <f>D43+E42</f>
        <v>-138845.08038644737</v>
      </c>
      <c r="F43" s="433">
        <f t="shared" ref="F43:T43" si="21">E43+F42</f>
        <v>-307035.07230642415</v>
      </c>
      <c r="G43" s="433">
        <f t="shared" si="21"/>
        <v>-296185.36568919366</v>
      </c>
      <c r="H43" s="433">
        <f t="shared" si="21"/>
        <v>-288776.67655011883</v>
      </c>
      <c r="I43" s="433">
        <f t="shared" si="21"/>
        <v>-276167.00269493612</v>
      </c>
      <c r="J43" s="433">
        <f t="shared" si="21"/>
        <v>-153395.59637907415</v>
      </c>
      <c r="K43" s="433">
        <f t="shared" si="21"/>
        <v>-155411.47113229014</v>
      </c>
      <c r="L43" s="433">
        <f t="shared" si="21"/>
        <v>-109262.55359647496</v>
      </c>
      <c r="M43" s="433">
        <f t="shared" si="21"/>
        <v>-63055.25809900905</v>
      </c>
      <c r="N43" s="433">
        <f t="shared" si="21"/>
        <v>-35686.044559226859</v>
      </c>
      <c r="O43" s="433">
        <f t="shared" si="21"/>
        <v>-22644.157863544067</v>
      </c>
      <c r="P43" s="433">
        <f t="shared" si="21"/>
        <v>9044.3760330053337</v>
      </c>
      <c r="Q43" s="433">
        <f t="shared" si="21"/>
        <v>27895.36923621847</v>
      </c>
      <c r="R43" s="433">
        <f t="shared" si="21"/>
        <v>37787.271393394913</v>
      </c>
      <c r="S43" s="433">
        <f t="shared" si="21"/>
        <v>38209.09385210777</v>
      </c>
      <c r="T43" s="433">
        <f t="shared" si="21"/>
        <v>44105.924755258835</v>
      </c>
    </row>
    <row r="44" spans="1:20" ht="18" customHeight="1">
      <c r="A44" s="424" t="s">
        <v>819</v>
      </c>
      <c r="B44" s="326" t="s">
        <v>820</v>
      </c>
      <c r="C44" s="450"/>
      <c r="D44" s="435"/>
      <c r="E44" s="428">
        <f>E31-E26</f>
        <v>2054.919613552629</v>
      </c>
      <c r="F44" s="428">
        <f t="shared" ref="F44:T44" si="22">F31-F26</f>
        <v>4310.0080800231954</v>
      </c>
      <c r="G44" s="428">
        <f t="shared" si="22"/>
        <v>156449.70661723052</v>
      </c>
      <c r="H44" s="428">
        <f t="shared" si="22"/>
        <v>7408.689139074806</v>
      </c>
      <c r="I44" s="428">
        <f t="shared" si="22"/>
        <v>12609.673855182691</v>
      </c>
      <c r="J44" s="428">
        <f t="shared" si="22"/>
        <v>122771.40631586198</v>
      </c>
      <c r="K44" s="428">
        <f t="shared" si="22"/>
        <v>145784.12524678401</v>
      </c>
      <c r="L44" s="428">
        <f t="shared" si="22"/>
        <v>46148.917535815184</v>
      </c>
      <c r="M44" s="428">
        <f t="shared" si="22"/>
        <v>46207.295497465908</v>
      </c>
      <c r="N44" s="428">
        <f t="shared" si="22"/>
        <v>27369.213539782191</v>
      </c>
      <c r="O44" s="428">
        <f t="shared" si="22"/>
        <v>60641.886695682799</v>
      </c>
      <c r="P44" s="428">
        <f t="shared" si="22"/>
        <v>31688.533896549401</v>
      </c>
      <c r="Q44" s="428">
        <f t="shared" si="22"/>
        <v>18850.993203213136</v>
      </c>
      <c r="R44" s="428">
        <f t="shared" si="22"/>
        <v>9891.9021571764388</v>
      </c>
      <c r="S44" s="428">
        <f t="shared" si="22"/>
        <v>421.82245871285465</v>
      </c>
      <c r="T44" s="428">
        <f t="shared" si="22"/>
        <v>5896.8309031510653</v>
      </c>
    </row>
    <row r="45" spans="1:20" ht="18" customHeight="1">
      <c r="A45" s="429" t="s">
        <v>821</v>
      </c>
      <c r="B45" s="330" t="s">
        <v>822</v>
      </c>
      <c r="C45" s="448"/>
      <c r="D45" s="432"/>
      <c r="E45" s="433">
        <f>D45+E44</f>
        <v>2054.919613552629</v>
      </c>
      <c r="F45" s="433">
        <f t="shared" ref="F45:T45" si="23">E45+F44</f>
        <v>6364.9276935758244</v>
      </c>
      <c r="G45" s="433">
        <f t="shared" si="23"/>
        <v>162814.63431080634</v>
      </c>
      <c r="H45" s="433">
        <f t="shared" si="23"/>
        <v>170223.32344988117</v>
      </c>
      <c r="I45" s="433">
        <f t="shared" si="23"/>
        <v>182832.99730506385</v>
      </c>
      <c r="J45" s="433">
        <f t="shared" si="23"/>
        <v>305604.40362092585</v>
      </c>
      <c r="K45" s="433">
        <f t="shared" si="23"/>
        <v>451388.52886770986</v>
      </c>
      <c r="L45" s="433">
        <f t="shared" si="23"/>
        <v>497537.44640352507</v>
      </c>
      <c r="M45" s="433">
        <f t="shared" si="23"/>
        <v>543744.74190099095</v>
      </c>
      <c r="N45" s="433">
        <f t="shared" si="23"/>
        <v>571113.95544077316</v>
      </c>
      <c r="O45" s="433">
        <f t="shared" si="23"/>
        <v>631755.84213645593</v>
      </c>
      <c r="P45" s="433">
        <f t="shared" si="23"/>
        <v>663444.3760330053</v>
      </c>
      <c r="Q45" s="433">
        <f t="shared" si="23"/>
        <v>682295.36923621839</v>
      </c>
      <c r="R45" s="433">
        <f t="shared" si="23"/>
        <v>692187.2713933948</v>
      </c>
      <c r="S45" s="433">
        <f t="shared" si="23"/>
        <v>692609.09385210765</v>
      </c>
      <c r="T45" s="433">
        <f t="shared" si="23"/>
        <v>698505.92475525872</v>
      </c>
    </row>
    <row r="46" spans="1:20" ht="18" customHeight="1">
      <c r="A46" s="424" t="s">
        <v>679</v>
      </c>
      <c r="B46" s="445" t="s">
        <v>627</v>
      </c>
      <c r="C46" s="426">
        <f>全直开+期间费用+增值税及附加+其他税+土增税</f>
        <v>461930.53387124732</v>
      </c>
      <c r="D46" s="455"/>
      <c r="E46" s="428"/>
      <c r="F46" s="428"/>
      <c r="G46" s="428"/>
      <c r="H46" s="428"/>
      <c r="I46" s="428"/>
      <c r="J46" s="428"/>
      <c r="K46" s="428"/>
      <c r="L46" s="428"/>
      <c r="M46" s="428"/>
      <c r="N46" s="428"/>
      <c r="O46" s="428"/>
      <c r="P46" s="428"/>
      <c r="Q46" s="428"/>
      <c r="R46" s="428"/>
      <c r="S46" s="428"/>
      <c r="T46" s="426"/>
    </row>
    <row r="47" spans="1:20" ht="18" customHeight="1">
      <c r="A47" s="429" t="s">
        <v>681</v>
      </c>
      <c r="B47" s="444" t="s">
        <v>629</v>
      </c>
      <c r="C47" s="431">
        <f>总销售收入</f>
        <v>488508.26199999999</v>
      </c>
      <c r="D47" s="456"/>
      <c r="E47" s="433"/>
      <c r="F47" s="433"/>
      <c r="G47" s="433"/>
      <c r="H47" s="433"/>
      <c r="I47" s="433"/>
      <c r="J47" s="433"/>
      <c r="K47" s="433"/>
      <c r="L47" s="433"/>
      <c r="M47" s="433"/>
      <c r="N47" s="433"/>
      <c r="O47" s="433"/>
      <c r="P47" s="433"/>
      <c r="Q47" s="433"/>
      <c r="R47" s="433"/>
      <c r="S47" s="433"/>
      <c r="T47" s="431"/>
    </row>
    <row r="48" spans="1:20" ht="18" customHeight="1">
      <c r="A48" s="424" t="s">
        <v>823</v>
      </c>
      <c r="B48" s="445" t="s">
        <v>631</v>
      </c>
      <c r="C48" s="426">
        <f>总销售收入-总投资</f>
        <v>26577.728128752671</v>
      </c>
      <c r="D48" s="455"/>
      <c r="E48" s="428"/>
      <c r="F48" s="428"/>
      <c r="G48" s="428"/>
      <c r="H48" s="428"/>
      <c r="I48" s="428"/>
      <c r="J48" s="428"/>
      <c r="K48" s="428"/>
      <c r="L48" s="428"/>
      <c r="M48" s="428"/>
      <c r="N48" s="428"/>
      <c r="O48" s="428"/>
      <c r="P48" s="428"/>
      <c r="Q48" s="428"/>
      <c r="R48" s="428"/>
      <c r="S48" s="428"/>
      <c r="T48" s="426"/>
    </row>
    <row r="49" spans="1:20" ht="18" customHeight="1">
      <c r="A49" s="429" t="s">
        <v>771</v>
      </c>
      <c r="B49" s="444" t="s">
        <v>633</v>
      </c>
      <c r="C49" s="431">
        <f>MAX(利润表所得税总额,SUM($E20:T20))</f>
        <v>8621.5533734938399</v>
      </c>
      <c r="D49" s="456"/>
      <c r="E49" s="433"/>
      <c r="F49" s="433"/>
      <c r="G49" s="433"/>
      <c r="H49" s="433"/>
      <c r="I49" s="433"/>
      <c r="J49" s="433"/>
      <c r="K49" s="433"/>
      <c r="L49" s="433"/>
      <c r="M49" s="433"/>
      <c r="N49" s="433"/>
      <c r="O49" s="433"/>
      <c r="P49" s="433"/>
      <c r="Q49" s="433"/>
      <c r="R49" s="433"/>
      <c r="S49" s="433"/>
      <c r="T49" s="431"/>
    </row>
    <row r="50" spans="1:20" ht="18" customHeight="1">
      <c r="A50" s="424" t="s">
        <v>824</v>
      </c>
      <c r="B50" s="445" t="s">
        <v>636</v>
      </c>
      <c r="C50" s="426">
        <f>税前利润-所得税</f>
        <v>17956.174755258831</v>
      </c>
      <c r="D50" s="455"/>
      <c r="E50" s="428"/>
      <c r="F50" s="428"/>
      <c r="G50" s="428"/>
      <c r="H50" s="428"/>
      <c r="I50" s="428"/>
      <c r="J50" s="428"/>
      <c r="K50" s="428"/>
      <c r="L50" s="428"/>
      <c r="M50" s="428"/>
      <c r="N50" s="428"/>
      <c r="O50" s="428"/>
      <c r="P50" s="428"/>
      <c r="Q50" s="428"/>
      <c r="R50" s="428"/>
      <c r="S50" s="428"/>
      <c r="T50" s="426"/>
    </row>
    <row r="51" spans="1:20" ht="18" customHeight="1">
      <c r="A51" s="429" t="s">
        <v>825</v>
      </c>
      <c r="B51" s="457" t="s">
        <v>649</v>
      </c>
      <c r="C51" s="458">
        <f>IFERROR((总销售收入-全直开)/总投资,"")</f>
        <v>0.17308371222485164</v>
      </c>
      <c r="D51" s="459"/>
      <c r="E51" s="460"/>
      <c r="F51" s="460"/>
      <c r="G51" s="460"/>
      <c r="H51" s="460"/>
      <c r="I51" s="460"/>
      <c r="J51" s="460"/>
      <c r="K51" s="460"/>
      <c r="L51" s="460"/>
      <c r="M51" s="460"/>
      <c r="N51" s="460"/>
      <c r="O51" s="460"/>
      <c r="P51" s="460"/>
      <c r="Q51" s="460"/>
      <c r="R51" s="460"/>
      <c r="S51" s="460"/>
      <c r="T51" s="479"/>
    </row>
    <row r="52" spans="1:20" ht="18" customHeight="1">
      <c r="A52" s="424" t="s">
        <v>826</v>
      </c>
      <c r="B52" s="461" t="s">
        <v>651</v>
      </c>
      <c r="C52" s="462">
        <f>IFERROR(净利润/总投资,"")</f>
        <v>3.8872023905359994E-2</v>
      </c>
      <c r="D52" s="463"/>
      <c r="E52" s="464"/>
      <c r="F52" s="464"/>
      <c r="G52" s="464"/>
      <c r="H52" s="464"/>
      <c r="I52" s="464"/>
      <c r="J52" s="464"/>
      <c r="K52" s="464"/>
      <c r="L52" s="464"/>
      <c r="M52" s="464"/>
      <c r="N52" s="464"/>
      <c r="O52" s="464"/>
      <c r="P52" s="464"/>
      <c r="Q52" s="464"/>
      <c r="R52" s="464"/>
      <c r="S52" s="464"/>
      <c r="T52" s="480"/>
    </row>
    <row r="53" spans="1:20" ht="18" customHeight="1">
      <c r="A53" s="429" t="s">
        <v>827</v>
      </c>
      <c r="B53" s="457" t="s">
        <v>653</v>
      </c>
      <c r="C53" s="458">
        <f>IFERROR((总销售收入-全直开)/总销售收入,"")</f>
        <v>0.16366693833408094</v>
      </c>
      <c r="D53" s="459"/>
      <c r="E53" s="460"/>
      <c r="F53" s="460"/>
      <c r="G53" s="460"/>
      <c r="H53" s="460"/>
      <c r="I53" s="460"/>
      <c r="J53" s="460"/>
      <c r="K53" s="460"/>
      <c r="L53" s="460"/>
      <c r="M53" s="460"/>
      <c r="N53" s="460"/>
      <c r="O53" s="460"/>
      <c r="P53" s="460"/>
      <c r="Q53" s="460"/>
      <c r="R53" s="460"/>
      <c r="S53" s="460"/>
      <c r="T53" s="479"/>
    </row>
    <row r="54" spans="1:20" ht="18" customHeight="1">
      <c r="A54" s="424" t="s">
        <v>828</v>
      </c>
      <c r="B54" s="461" t="s">
        <v>655</v>
      </c>
      <c r="C54" s="462">
        <f>IFERROR(净利润/总销售收入,"")</f>
        <v>3.6757156740286269E-2</v>
      </c>
      <c r="D54" s="463"/>
      <c r="E54" s="464"/>
      <c r="F54" s="464"/>
      <c r="G54" s="464"/>
      <c r="H54" s="464"/>
      <c r="I54" s="464"/>
      <c r="J54" s="464"/>
      <c r="K54" s="464"/>
      <c r="L54" s="464"/>
      <c r="M54" s="464"/>
      <c r="N54" s="464"/>
      <c r="O54" s="464"/>
      <c r="P54" s="464"/>
      <c r="Q54" s="464"/>
      <c r="R54" s="464"/>
      <c r="S54" s="464"/>
      <c r="T54" s="480"/>
    </row>
    <row r="55" spans="1:20" ht="18" customHeight="1">
      <c r="A55" s="465" t="s">
        <v>829</v>
      </c>
      <c r="B55" s="330" t="s">
        <v>830</v>
      </c>
      <c r="C55" s="466">
        <f>土增税预提比例</f>
        <v>0.03</v>
      </c>
      <c r="D55" s="467"/>
      <c r="E55" s="460"/>
      <c r="F55" s="460"/>
      <c r="G55" s="460"/>
      <c r="H55" s="460"/>
      <c r="I55" s="460"/>
      <c r="J55" s="460"/>
      <c r="K55" s="460"/>
      <c r="L55" s="460"/>
      <c r="M55" s="460"/>
      <c r="N55" s="460"/>
      <c r="O55" s="460"/>
      <c r="P55" s="460"/>
      <c r="Q55" s="460"/>
      <c r="R55" s="460"/>
      <c r="S55" s="460"/>
      <c r="T55" s="479"/>
    </row>
    <row r="56" spans="1:20" ht="18" customHeight="1">
      <c r="A56" s="468" t="s">
        <v>831</v>
      </c>
      <c r="B56" s="326" t="s">
        <v>832</v>
      </c>
      <c r="C56" s="469"/>
      <c r="D56" s="470"/>
      <c r="E56" s="464"/>
      <c r="F56" s="464"/>
      <c r="G56" s="464"/>
      <c r="H56" s="464"/>
      <c r="I56" s="464"/>
      <c r="J56" s="464"/>
      <c r="K56" s="464"/>
      <c r="L56" s="464"/>
      <c r="M56" s="464"/>
      <c r="N56" s="464"/>
      <c r="O56" s="464"/>
      <c r="P56" s="464"/>
      <c r="Q56" s="464"/>
      <c r="R56" s="464"/>
      <c r="S56" s="464"/>
      <c r="T56" s="480"/>
    </row>
    <row r="57" spans="1:20" ht="18" customHeight="1">
      <c r="A57" s="465" t="s">
        <v>833</v>
      </c>
      <c r="B57" s="330" t="s">
        <v>834</v>
      </c>
      <c r="C57" s="466">
        <f>不可预见费率</f>
        <v>0.03</v>
      </c>
      <c r="D57" s="467"/>
      <c r="E57" s="460"/>
      <c r="F57" s="460"/>
      <c r="G57" s="460"/>
      <c r="H57" s="460"/>
      <c r="I57" s="460"/>
      <c r="J57" s="460"/>
      <c r="K57" s="460"/>
      <c r="L57" s="460"/>
      <c r="M57" s="460"/>
      <c r="N57" s="460"/>
      <c r="O57" s="460"/>
      <c r="P57" s="460"/>
      <c r="Q57" s="460"/>
      <c r="R57" s="460"/>
      <c r="S57" s="460"/>
      <c r="T57" s="479"/>
    </row>
    <row r="58" spans="1:20" ht="18" customHeight="1">
      <c r="A58" s="468" t="s">
        <v>835</v>
      </c>
      <c r="B58" s="326" t="s">
        <v>836</v>
      </c>
      <c r="C58" s="469">
        <f>管理费用比例</f>
        <v>0.01</v>
      </c>
      <c r="D58" s="470"/>
      <c r="E58" s="464"/>
      <c r="F58" s="464"/>
      <c r="G58" s="464"/>
      <c r="H58" s="464"/>
      <c r="I58" s="464"/>
      <c r="J58" s="464"/>
      <c r="K58" s="464"/>
      <c r="L58" s="464"/>
      <c r="M58" s="464"/>
      <c r="N58" s="464"/>
      <c r="O58" s="464"/>
      <c r="P58" s="464"/>
      <c r="Q58" s="464"/>
      <c r="R58" s="464"/>
      <c r="S58" s="464"/>
      <c r="T58" s="480"/>
    </row>
    <row r="59" spans="1:20" ht="18" customHeight="1">
      <c r="A59" s="429" t="s">
        <v>837</v>
      </c>
      <c r="B59" s="457" t="s">
        <v>838</v>
      </c>
      <c r="C59" s="458">
        <f>贷款利率</f>
        <v>3.7499999999999999E-2</v>
      </c>
      <c r="D59" s="456"/>
      <c r="E59" s="460"/>
      <c r="F59" s="460"/>
      <c r="G59" s="460"/>
      <c r="H59" s="460"/>
      <c r="I59" s="460"/>
      <c r="J59" s="460"/>
      <c r="K59" s="460"/>
      <c r="L59" s="460"/>
      <c r="M59" s="460"/>
      <c r="N59" s="460"/>
      <c r="O59" s="460"/>
      <c r="P59" s="460"/>
      <c r="Q59" s="460"/>
      <c r="R59" s="460"/>
      <c r="S59" s="460"/>
      <c r="T59" s="479"/>
    </row>
    <row r="60" spans="1:20" ht="18" customHeight="1">
      <c r="A60" s="424" t="s">
        <v>839</v>
      </c>
      <c r="B60" s="461" t="s">
        <v>840</v>
      </c>
      <c r="C60" s="462">
        <f>股东借款利率</f>
        <v>5.5E-2</v>
      </c>
      <c r="D60" s="455"/>
      <c r="E60" s="464"/>
      <c r="F60" s="464"/>
      <c r="G60" s="464"/>
      <c r="H60" s="464"/>
      <c r="I60" s="464"/>
      <c r="J60" s="464"/>
      <c r="K60" s="464"/>
      <c r="L60" s="464"/>
      <c r="M60" s="464"/>
      <c r="N60" s="464"/>
      <c r="O60" s="464"/>
      <c r="P60" s="464"/>
      <c r="Q60" s="464"/>
      <c r="R60" s="464"/>
      <c r="S60" s="464"/>
      <c r="T60" s="480"/>
    </row>
    <row r="61" spans="1:20" ht="18" customHeight="1">
      <c r="A61" s="465" t="s">
        <v>841</v>
      </c>
      <c r="B61" s="471" t="s">
        <v>842</v>
      </c>
      <c r="C61" s="466">
        <f>所得税税率</f>
        <v>0.25</v>
      </c>
      <c r="D61" s="467"/>
      <c r="E61" s="460"/>
      <c r="F61" s="460"/>
      <c r="G61" s="460"/>
      <c r="H61" s="460"/>
      <c r="I61" s="460"/>
      <c r="J61" s="460"/>
      <c r="K61" s="460"/>
      <c r="L61" s="460"/>
      <c r="M61" s="460"/>
      <c r="N61" s="460"/>
      <c r="O61" s="460"/>
      <c r="P61" s="460"/>
      <c r="Q61" s="460"/>
      <c r="R61" s="460"/>
      <c r="S61" s="460"/>
      <c r="T61" s="479"/>
    </row>
    <row r="62" spans="1:20" ht="18" customHeight="1">
      <c r="A62" s="472" t="s">
        <v>675</v>
      </c>
      <c r="B62" s="473" t="s">
        <v>843</v>
      </c>
      <c r="C62" s="474">
        <f>成本构成!H84</f>
        <v>421594.98930244002</v>
      </c>
      <c r="D62" s="475"/>
      <c r="E62" s="476"/>
      <c r="F62" s="476"/>
      <c r="G62" s="476"/>
      <c r="H62" s="476"/>
      <c r="I62" s="476"/>
      <c r="J62" s="476"/>
      <c r="K62" s="476"/>
      <c r="L62" s="476"/>
      <c r="M62" s="476"/>
      <c r="N62" s="476"/>
      <c r="O62" s="476"/>
      <c r="P62" s="476"/>
      <c r="Q62" s="476"/>
      <c r="R62" s="476"/>
      <c r="S62" s="476"/>
      <c r="T62" s="481"/>
    </row>
    <row r="63" spans="1:20" ht="18" customHeight="1">
      <c r="A63" s="472" t="s">
        <v>677</v>
      </c>
      <c r="B63" s="473" t="s">
        <v>844</v>
      </c>
      <c r="C63" s="474">
        <f>成本构成!H85</f>
        <v>448172.71743119264</v>
      </c>
      <c r="D63" s="475"/>
      <c r="E63" s="476"/>
      <c r="F63" s="476"/>
      <c r="G63" s="476"/>
      <c r="H63" s="476"/>
      <c r="I63" s="476"/>
      <c r="J63" s="476"/>
      <c r="K63" s="476"/>
      <c r="L63" s="476"/>
      <c r="M63" s="476"/>
      <c r="N63" s="476"/>
      <c r="O63" s="476"/>
      <c r="P63" s="476"/>
      <c r="Q63" s="476"/>
      <c r="R63" s="476"/>
      <c r="S63" s="476"/>
      <c r="T63" s="481"/>
    </row>
    <row r="64" spans="1:20" ht="18" customHeight="1">
      <c r="A64" s="472" t="s">
        <v>683</v>
      </c>
      <c r="B64" s="477" t="s">
        <v>845</v>
      </c>
      <c r="C64" s="474">
        <f>成本构成!H86</f>
        <v>26577.728128752613</v>
      </c>
      <c r="D64" s="475"/>
      <c r="E64" s="476"/>
      <c r="F64" s="476"/>
      <c r="G64" s="476"/>
      <c r="H64" s="476"/>
      <c r="I64" s="476"/>
      <c r="J64" s="476"/>
      <c r="K64" s="476"/>
      <c r="L64" s="476"/>
      <c r="M64" s="476"/>
      <c r="N64" s="476"/>
      <c r="O64" s="476"/>
      <c r="P64" s="476"/>
      <c r="Q64" s="476"/>
      <c r="R64" s="476"/>
      <c r="S64" s="476"/>
      <c r="T64" s="481"/>
    </row>
    <row r="65" spans="1:20" ht="18" customHeight="1">
      <c r="A65" s="472" t="s">
        <v>685</v>
      </c>
      <c r="B65" s="473" t="s">
        <v>846</v>
      </c>
      <c r="C65" s="474">
        <f>成本构成!H88</f>
        <v>17956.174755258773</v>
      </c>
      <c r="D65" s="482"/>
      <c r="E65" s="476"/>
      <c r="F65" s="476"/>
      <c r="G65" s="476"/>
      <c r="H65" s="476"/>
      <c r="I65" s="476"/>
      <c r="J65" s="476"/>
      <c r="K65" s="476"/>
      <c r="L65" s="476"/>
      <c r="M65" s="476"/>
      <c r="N65" s="476"/>
      <c r="O65" s="476"/>
      <c r="P65" s="476"/>
      <c r="Q65" s="476"/>
      <c r="R65" s="476"/>
      <c r="S65" s="476"/>
      <c r="T65" s="481"/>
    </row>
    <row r="66" spans="1:20" ht="18" customHeight="1">
      <c r="A66" s="472" t="s">
        <v>847</v>
      </c>
      <c r="B66" s="483" t="s">
        <v>848</v>
      </c>
      <c r="C66" s="484">
        <f>成本构成!H94</f>
        <v>0.17047722887548611</v>
      </c>
      <c r="D66" s="482"/>
      <c r="E66" s="476"/>
      <c r="F66" s="476"/>
      <c r="G66" s="476"/>
      <c r="H66" s="476"/>
      <c r="I66" s="476"/>
      <c r="J66" s="476"/>
      <c r="K66" s="476"/>
      <c r="L66" s="476"/>
      <c r="M66" s="476"/>
      <c r="N66" s="476"/>
      <c r="O66" s="476"/>
      <c r="P66" s="476"/>
      <c r="Q66" s="476"/>
      <c r="R66" s="476"/>
      <c r="S66" s="476"/>
      <c r="T66" s="481"/>
    </row>
    <row r="67" spans="1:20" ht="18" customHeight="1">
      <c r="A67" s="472" t="s">
        <v>687</v>
      </c>
      <c r="B67" s="483" t="s">
        <v>849</v>
      </c>
      <c r="C67" s="484">
        <f>成本构成!H95</f>
        <v>4.2591053525016007E-2</v>
      </c>
      <c r="D67" s="482"/>
      <c r="E67" s="476"/>
      <c r="F67" s="476"/>
      <c r="G67" s="476"/>
      <c r="H67" s="476"/>
      <c r="I67" s="476"/>
      <c r="J67" s="476"/>
      <c r="K67" s="476"/>
      <c r="L67" s="476"/>
      <c r="M67" s="476"/>
      <c r="N67" s="476"/>
      <c r="O67" s="476"/>
      <c r="P67" s="476"/>
      <c r="Q67" s="476"/>
      <c r="R67" s="476"/>
      <c r="S67" s="476"/>
      <c r="T67" s="481"/>
    </row>
    <row r="68" spans="1:20" ht="18" customHeight="1">
      <c r="A68" s="472" t="s">
        <v>850</v>
      </c>
      <c r="B68" s="483" t="s">
        <v>851</v>
      </c>
      <c r="C68" s="484">
        <f>成本构成!H96</f>
        <v>0.16036751611303662</v>
      </c>
      <c r="D68" s="482"/>
      <c r="E68" s="476"/>
      <c r="F68" s="476"/>
      <c r="G68" s="476"/>
      <c r="H68" s="476"/>
      <c r="I68" s="476"/>
      <c r="J68" s="476"/>
      <c r="K68" s="476"/>
      <c r="L68" s="476"/>
      <c r="M68" s="476"/>
      <c r="N68" s="476"/>
      <c r="O68" s="476"/>
      <c r="P68" s="476"/>
      <c r="Q68" s="476"/>
      <c r="R68" s="476"/>
      <c r="S68" s="476"/>
      <c r="T68" s="481"/>
    </row>
    <row r="69" spans="1:20" ht="18" customHeight="1">
      <c r="A69" s="472" t="s">
        <v>689</v>
      </c>
      <c r="B69" s="483" t="s">
        <v>852</v>
      </c>
      <c r="C69" s="484">
        <f>成本构成!H97</f>
        <v>4.0065300846911907E-2</v>
      </c>
      <c r="D69" s="482"/>
      <c r="E69" s="476"/>
      <c r="F69" s="476"/>
      <c r="G69" s="476"/>
      <c r="H69" s="476"/>
      <c r="I69" s="476"/>
      <c r="J69" s="476"/>
      <c r="K69" s="476"/>
      <c r="L69" s="476"/>
      <c r="M69" s="476"/>
      <c r="N69" s="476"/>
      <c r="O69" s="476"/>
      <c r="P69" s="476"/>
      <c r="Q69" s="476"/>
      <c r="R69" s="476"/>
      <c r="S69" s="476"/>
      <c r="T69" s="481"/>
    </row>
    <row r="70" spans="1:20" ht="18" customHeight="1">
      <c r="A70" s="424" t="s">
        <v>853</v>
      </c>
      <c r="B70" s="485" t="s">
        <v>646</v>
      </c>
      <c r="C70" s="469">
        <f>现值系数</f>
        <v>0.06</v>
      </c>
      <c r="D70" s="470"/>
      <c r="E70" s="464"/>
      <c r="F70" s="464"/>
      <c r="G70" s="464"/>
      <c r="H70" s="464"/>
      <c r="I70" s="464"/>
      <c r="J70" s="464"/>
      <c r="K70" s="464"/>
      <c r="L70" s="464"/>
      <c r="M70" s="464"/>
      <c r="N70" s="464"/>
      <c r="O70" s="464"/>
      <c r="P70" s="464"/>
      <c r="Q70" s="464"/>
      <c r="R70" s="464"/>
      <c r="S70" s="464"/>
      <c r="T70" s="480"/>
    </row>
    <row r="71" spans="1:20" ht="18" customHeight="1">
      <c r="A71" s="429" t="s">
        <v>854</v>
      </c>
      <c r="B71" s="454" t="s">
        <v>855</v>
      </c>
      <c r="C71" s="486">
        <f>IFERROR(NPV(C70,E77:H77),"")</f>
        <v>14440.913426412544</v>
      </c>
      <c r="D71" s="467"/>
      <c r="E71" s="460"/>
      <c r="F71" s="460"/>
      <c r="G71" s="460"/>
      <c r="H71" s="460"/>
      <c r="I71" s="460"/>
      <c r="J71" s="460"/>
      <c r="K71" s="460"/>
      <c r="L71" s="460"/>
      <c r="M71" s="460"/>
      <c r="N71" s="460"/>
      <c r="O71" s="460"/>
      <c r="P71" s="460"/>
      <c r="Q71" s="460"/>
      <c r="R71" s="460"/>
      <c r="S71" s="460"/>
      <c r="T71" s="479"/>
    </row>
    <row r="72" spans="1:20" ht="18" customHeight="1">
      <c r="A72" s="424" t="s">
        <v>691</v>
      </c>
      <c r="B72" s="453" t="s">
        <v>856</v>
      </c>
      <c r="C72" s="469">
        <f>IFERROR((1+IRR(E42:T42))^4-1,"")</f>
        <v>8.3816905809099618E-2</v>
      </c>
      <c r="D72" s="470"/>
      <c r="E72" s="464"/>
      <c r="F72" s="464"/>
      <c r="G72" s="464"/>
      <c r="H72" s="464"/>
      <c r="I72" s="464"/>
      <c r="J72" s="464"/>
      <c r="K72" s="464"/>
      <c r="L72" s="464"/>
      <c r="M72" s="464"/>
      <c r="N72" s="464"/>
      <c r="O72" s="464"/>
      <c r="P72" s="464"/>
      <c r="Q72" s="464"/>
      <c r="R72" s="464"/>
      <c r="S72" s="464"/>
      <c r="T72" s="480"/>
    </row>
    <row r="73" spans="1:20" ht="18" customHeight="1">
      <c r="A73" s="429" t="s">
        <v>857</v>
      </c>
      <c r="B73" s="330" t="s">
        <v>858</v>
      </c>
      <c r="C73" s="486">
        <f>IFERROR(NPV(E70,C78:H78),"")</f>
        <v>698505.92475525883</v>
      </c>
      <c r="D73" s="467"/>
      <c r="E73" s="460"/>
      <c r="F73" s="460"/>
      <c r="G73" s="460"/>
      <c r="H73" s="460"/>
      <c r="I73" s="460"/>
      <c r="J73" s="460"/>
      <c r="K73" s="460"/>
      <c r="L73" s="460"/>
      <c r="M73" s="460"/>
      <c r="N73" s="460"/>
      <c r="O73" s="460"/>
      <c r="P73" s="460"/>
      <c r="Q73" s="460"/>
      <c r="R73" s="460"/>
      <c r="S73" s="460"/>
      <c r="T73" s="479"/>
    </row>
    <row r="74" spans="1:20" ht="18" customHeight="1">
      <c r="A74" s="487" t="s">
        <v>859</v>
      </c>
      <c r="B74" s="488" t="s">
        <v>860</v>
      </c>
      <c r="C74" s="489" t="str">
        <f>IFERROR(IRR(E78:H78),"")</f>
        <v/>
      </c>
      <c r="D74" s="470"/>
      <c r="E74" s="464"/>
      <c r="F74" s="464"/>
      <c r="G74" s="464"/>
      <c r="H74" s="464"/>
      <c r="I74" s="464"/>
      <c r="J74" s="464"/>
      <c r="K74" s="464"/>
      <c r="L74" s="464"/>
      <c r="M74" s="464"/>
      <c r="N74" s="464"/>
      <c r="O74" s="464"/>
      <c r="P74" s="464"/>
      <c r="Q74" s="464"/>
      <c r="R74" s="464"/>
      <c r="S74" s="464"/>
      <c r="T74" s="480"/>
    </row>
    <row r="75" spans="1:20" ht="18" customHeight="1">
      <c r="A75" s="490" t="s">
        <v>861</v>
      </c>
      <c r="B75" s="491" t="s">
        <v>862</v>
      </c>
      <c r="C75" s="486">
        <f>C47-全直开</f>
        <v>79952.651592443057</v>
      </c>
      <c r="D75" s="467"/>
      <c r="E75" s="460"/>
      <c r="F75" s="460"/>
      <c r="G75" s="460"/>
      <c r="H75" s="460"/>
      <c r="I75" s="460"/>
      <c r="J75" s="460"/>
      <c r="K75" s="460"/>
      <c r="L75" s="460"/>
      <c r="M75" s="460"/>
      <c r="N75" s="460"/>
      <c r="O75" s="460"/>
      <c r="P75" s="460"/>
      <c r="Q75" s="460"/>
      <c r="R75" s="460"/>
      <c r="S75" s="460"/>
      <c r="T75" s="479"/>
    </row>
    <row r="76" spans="1:20" ht="18" customHeight="1">
      <c r="A76" s="468" t="s">
        <v>863</v>
      </c>
      <c r="B76" s="326" t="s">
        <v>864</v>
      </c>
      <c r="C76" s="492"/>
      <c r="D76" s="470"/>
      <c r="E76" s="464" t="s">
        <v>180</v>
      </c>
      <c r="F76" s="464" t="s">
        <v>181</v>
      </c>
      <c r="G76" s="464" t="s">
        <v>182</v>
      </c>
      <c r="H76" s="464" t="s">
        <v>183</v>
      </c>
      <c r="I76" s="464"/>
      <c r="J76" s="464"/>
      <c r="K76" s="464"/>
      <c r="L76" s="464"/>
      <c r="M76" s="464"/>
      <c r="N76" s="464"/>
      <c r="O76" s="464"/>
      <c r="P76" s="464"/>
      <c r="Q76" s="464"/>
      <c r="R76" s="464"/>
      <c r="S76" s="464"/>
      <c r="T76" s="480"/>
    </row>
    <row r="77" spans="1:20" ht="18" customHeight="1">
      <c r="A77" s="465" t="s">
        <v>865</v>
      </c>
      <c r="B77" s="330" t="s">
        <v>866</v>
      </c>
      <c r="C77" s="486"/>
      <c r="D77" s="467"/>
      <c r="E77" s="433">
        <f>SUM(E42:H42)</f>
        <v>-288776.67655011883</v>
      </c>
      <c r="F77" s="433">
        <f>SUM(I42:L42)</f>
        <v>179514.12295364388</v>
      </c>
      <c r="G77" s="433">
        <f>SUM(M42:P42)</f>
        <v>118306.92962948028</v>
      </c>
      <c r="H77" s="433">
        <f>SUM(Q42:T42)</f>
        <v>35061.548722253494</v>
      </c>
      <c r="I77" s="460"/>
      <c r="J77" s="460"/>
      <c r="K77" s="460"/>
      <c r="L77" s="460"/>
      <c r="M77" s="460"/>
      <c r="N77" s="460"/>
      <c r="O77" s="460"/>
      <c r="P77" s="460"/>
      <c r="Q77" s="460"/>
      <c r="R77" s="460"/>
      <c r="S77" s="460"/>
      <c r="T77" s="479"/>
    </row>
    <row r="78" spans="1:20" ht="18" customHeight="1">
      <c r="A78" s="493" t="s">
        <v>867</v>
      </c>
      <c r="B78" s="494" t="s">
        <v>868</v>
      </c>
      <c r="C78" s="495"/>
      <c r="D78" s="496"/>
      <c r="E78" s="497">
        <f>SUM(E44:H44)</f>
        <v>170223.32344988117</v>
      </c>
      <c r="F78" s="497">
        <f>SUM(I44:L44)</f>
        <v>327314.12295364391</v>
      </c>
      <c r="G78" s="497">
        <f>SUM(M44:P44)</f>
        <v>165906.92962948029</v>
      </c>
      <c r="H78" s="497">
        <f>SUM(Q44:T44)</f>
        <v>35061.548722253494</v>
      </c>
      <c r="I78" s="498"/>
      <c r="J78" s="498"/>
      <c r="K78" s="498"/>
      <c r="L78" s="498"/>
      <c r="M78" s="498"/>
      <c r="N78" s="498"/>
      <c r="O78" s="498"/>
      <c r="P78" s="498"/>
      <c r="Q78" s="498"/>
      <c r="R78" s="498"/>
      <c r="S78" s="498"/>
      <c r="T78" s="499"/>
    </row>
  </sheetData>
  <mergeCells count="8">
    <mergeCell ref="E1:H1"/>
    <mergeCell ref="I1:L1"/>
    <mergeCell ref="M1:P1"/>
    <mergeCell ref="Q1:T1"/>
    <mergeCell ref="A1:A2"/>
    <mergeCell ref="B1:B2"/>
    <mergeCell ref="C1:C2"/>
    <mergeCell ref="D1:D2"/>
  </mergeCells>
  <phoneticPr fontId="43" type="noConversion"/>
  <pageMargins left="0.7" right="0.7" top="0.75" bottom="0.75" header="0.3" footer="0.3"/>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49</vt:i4>
      </vt:variant>
    </vt:vector>
  </HeadingPairs>
  <TitlesOfParts>
    <vt:vector size="69" baseType="lpstr">
      <vt:lpstr>规划指标</vt:lpstr>
      <vt:lpstr>建设标准</vt:lpstr>
      <vt:lpstr>进度</vt:lpstr>
      <vt:lpstr>地下货值分析</vt:lpstr>
      <vt:lpstr>收入测算</vt:lpstr>
      <vt:lpstr>成本构成</vt:lpstr>
      <vt:lpstr>敏感性</vt:lpstr>
      <vt:lpstr>土增税</vt:lpstr>
      <vt:lpstr>基础运算</vt:lpstr>
      <vt:lpstr>现金流量</vt:lpstr>
      <vt:lpstr>资金平衡</vt:lpstr>
      <vt:lpstr>偿还贷款表</vt:lpstr>
      <vt:lpstr>利润表</vt:lpstr>
      <vt:lpstr>敏感性_成本</vt:lpstr>
      <vt:lpstr>敏感性_销售率</vt:lpstr>
      <vt:lpstr>投标价分析</vt:lpstr>
      <vt:lpstr>投标价倒算</vt:lpstr>
      <vt:lpstr>竞拍政策性用房分析</vt:lpstr>
      <vt:lpstr>以往土地中标分析</vt:lpstr>
      <vt:lpstr>调研项目标准</vt:lpstr>
      <vt:lpstr>不含税净利</vt:lpstr>
      <vt:lpstr>不可预见费率</vt:lpstr>
      <vt:lpstr>财务费</vt:lpstr>
      <vt:lpstr>纯直开</vt:lpstr>
      <vt:lpstr>贷款利率</vt:lpstr>
      <vt:lpstr>当前地价</vt:lpstr>
      <vt:lpstr>竞拍政策性用房分析!地价上限值</vt:lpstr>
      <vt:lpstr>附加税税率</vt:lpstr>
      <vt:lpstr>股东借款利率</vt:lpstr>
      <vt:lpstr>股东内部收益率</vt:lpstr>
      <vt:lpstr>管理费</vt:lpstr>
      <vt:lpstr>管理费用比例</vt:lpstr>
      <vt:lpstr>投标价分析!加价阶梯值</vt:lpstr>
      <vt:lpstr>监理费比例</vt:lpstr>
      <vt:lpstr>净利润</vt:lpstr>
      <vt:lpstr>竞拍政策性用房分析!竞拍政策性用房建安费值</vt:lpstr>
      <vt:lpstr>竞拍政策性用房分析!竞拍政策性用房面积增加阶梯值</vt:lpstr>
      <vt:lpstr>竞拍政策性用房分析!竞拍政策性用房售价值</vt:lpstr>
      <vt:lpstr>竞拍政策性用房分析!竞拍政策性用房销售费用比例值</vt:lpstr>
      <vt:lpstr>利润表所得税总额</vt:lpstr>
      <vt:lpstr>内部收益率</vt:lpstr>
      <vt:lpstr>期间费用</vt:lpstr>
      <vt:lpstr>其他税</vt:lpstr>
      <vt:lpstr>全直开</vt:lpstr>
      <vt:lpstr>税前利润</vt:lpstr>
      <vt:lpstr>所得税</vt:lpstr>
      <vt:lpstr>所得税税率</vt:lpstr>
      <vt:lpstr>投标价分析!投标底价值</vt:lpstr>
      <vt:lpstr>投资净利率</vt:lpstr>
      <vt:lpstr>投资毛利率</vt:lpstr>
      <vt:lpstr>土增税</vt:lpstr>
      <vt:lpstr>土增税预提比例</vt:lpstr>
      <vt:lpstr>现值系数</vt:lpstr>
      <vt:lpstr>竞拍政策性用房分析!相应减少面积的产品类型</vt:lpstr>
      <vt:lpstr>销售费</vt:lpstr>
      <vt:lpstr>销售净利率</vt:lpstr>
      <vt:lpstr>销售毛利率</vt:lpstr>
      <vt:lpstr>竞拍政策性用房分析!选中的相应减少面积的产品类型</vt:lpstr>
      <vt:lpstr>增值税</vt:lpstr>
      <vt:lpstr>增值税及附加</vt:lpstr>
      <vt:lpstr>增值税适用税率</vt:lpstr>
      <vt:lpstr>增值税预交税率</vt:lpstr>
      <vt:lpstr>总地上建筑面积</vt:lpstr>
      <vt:lpstr>总建筑面积</vt:lpstr>
      <vt:lpstr>总可售面积</vt:lpstr>
      <vt:lpstr>总商品房面积</vt:lpstr>
      <vt:lpstr>总投资</vt:lpstr>
      <vt:lpstr>总销售收入</vt:lpstr>
      <vt:lpstr>总占地面积</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昌平南邵地块_(2022年11月23日14时57分生成）</dc:title>
  <dc:creator>sktx</dc:creator>
  <cp:lastModifiedBy>dell</cp:lastModifiedBy>
  <cp:lastPrinted>2023-03-27T03:05:14Z</cp:lastPrinted>
  <dcterms:created xsi:type="dcterms:W3CDTF">2022-11-23T06:57:00Z</dcterms:created>
  <dcterms:modified xsi:type="dcterms:W3CDTF">2023-04-03T03:26:29Z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5676951FD0984749B6695FA1B0D9D153</vt:lpwstr>
  </property>
  <property fmtid="{D5CDD505-2E9C-101B-9397-08002B2CF9AE}" pid="3" name="KSOProductBuildVer">
    <vt:lpwstr>2052-11.1.0.13703</vt:lpwstr>
  </property>
</Properties>
</file>