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12.23收资料\"/>
    </mc:Choice>
  </mc:AlternateContent>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规证面积" sheetId="77" r:id="rId13"/>
    <sheet name="抵押物清单（分楼）" sheetId="42" state="hidden" r:id="rId14"/>
    <sheet name="房号明细" sheetId="83" r:id="rId15"/>
    <sheet name="抵押物清单" sheetId="85" state="hidden" r:id="rId16"/>
    <sheet name="面积指标" sheetId="86" state="hidden" r:id="rId17"/>
    <sheet name="已售清单" sheetId="84" r:id="rId18"/>
    <sheet name="土地案例" sheetId="81" r:id="rId19"/>
    <sheet name="数据-汇总表" sheetId="6" r:id="rId20"/>
    <sheet name="数据-取费表" sheetId="1" r:id="rId21"/>
    <sheet name="估价对象房地状况" sheetId="20" r:id="rId22"/>
    <sheet name="系统读取表" sheetId="74" r:id="rId23"/>
    <sheet name="结果表" sheetId="9" r:id="rId24"/>
    <sheet name="成本法" sheetId="68" r:id="rId25"/>
    <sheet name="成本法 (元)" sheetId="69" state="hidden" r:id="rId26"/>
    <sheet name="土地比较法-住宅、综合" sheetId="39" r:id="rId27"/>
    <sheet name="假设开发法" sheetId="12" r:id="rId28"/>
    <sheet name="收益法" sheetId="15" r:id="rId29"/>
    <sheet name="收益法 (元)" sheetId="67" state="hidden" r:id="rId30"/>
    <sheet name="收益法 (商业)" sheetId="78" r:id="rId31"/>
    <sheet name="收益法 (仓储)" sheetId="79" r:id="rId32"/>
    <sheet name="收益法 (地下车库)" sheetId="80" r:id="rId33"/>
    <sheet name="收益法（汇总）" sheetId="70" r:id="rId34"/>
    <sheet name="酒店收入计算" sheetId="66"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21">估价对象房地状况!$A$1:$G$24</definedName>
    <definedName name="_xlnm.Print_Area" localSheetId="8">估价师及机构信息!$A$1:$F$29</definedName>
    <definedName name="_xlnm.Print_Area" localSheetId="28">收益法!$A$1:$F$43</definedName>
    <definedName name="_xlnm.Print_Area" localSheetId="31">'收益法 (仓储)'!$A$1:$F$43</definedName>
    <definedName name="_xlnm.Print_Area" localSheetId="32">'收益法 (地下车库)'!$A$1:$F$43</definedName>
    <definedName name="_xlnm.Print_Area" localSheetId="30">'收益法 (商业)'!$A$1:$F$43</definedName>
    <definedName name="_xlnm.Print_Area" localSheetId="29">'收益法 (元)'!$A$1:$AK$69</definedName>
    <definedName name="_xlnm.Print_Area" localSheetId="19">'数据-汇总表'!$A$1:$I$32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P99" i="84" l="1"/>
  <c r="V54" i="81"/>
  <c r="Q45" i="81" l="1"/>
  <c r="K49" i="84"/>
  <c r="O49" i="84" s="1"/>
  <c r="P49" i="84" s="1"/>
  <c r="K47" i="84"/>
  <c r="O47" i="84" s="1"/>
  <c r="P47" i="84" s="1"/>
  <c r="J50" i="84"/>
  <c r="L50" i="84"/>
  <c r="N50" i="84"/>
  <c r="K37" i="84"/>
  <c r="M37" i="84" s="1"/>
  <c r="K31" i="84"/>
  <c r="M31" i="84" s="1"/>
  <c r="M90" i="84"/>
  <c r="M92" i="84" s="1"/>
  <c r="M94" i="84" s="1"/>
  <c r="M96" i="84" s="1"/>
  <c r="M98" i="84" s="1"/>
  <c r="M89" i="84"/>
  <c r="M91" i="84" s="1"/>
  <c r="M93" i="84" s="1"/>
  <c r="M95" i="84" s="1"/>
  <c r="M97" i="84" s="1"/>
  <c r="L90" i="84"/>
  <c r="L91" i="84" s="1"/>
  <c r="L92" i="84" s="1"/>
  <c r="L93" i="84" s="1"/>
  <c r="L94" i="84" s="1"/>
  <c r="L95" i="84" s="1"/>
  <c r="L96" i="84" s="1"/>
  <c r="L97" i="84" s="1"/>
  <c r="L98" i="84" s="1"/>
  <c r="L89" i="84"/>
  <c r="L104" i="84" s="1"/>
  <c r="K45" i="84"/>
  <c r="M45" i="84" s="1"/>
  <c r="J104" i="84"/>
  <c r="S41" i="84"/>
  <c r="S38" i="84"/>
  <c r="S39" i="84"/>
  <c r="S36" i="84"/>
  <c r="S35" i="84"/>
  <c r="M86" i="84"/>
  <c r="M85" i="84"/>
  <c r="K11" i="84"/>
  <c r="O11" i="84" s="1"/>
  <c r="M47" i="84" l="1"/>
  <c r="M49" i="84"/>
  <c r="K50" i="84"/>
  <c r="O37" i="84"/>
  <c r="P37" i="84" s="1"/>
  <c r="O31" i="84"/>
  <c r="P31" i="84" s="1"/>
  <c r="O45" i="84"/>
  <c r="P45" i="84" s="1"/>
  <c r="M11" i="84"/>
  <c r="P11" i="84"/>
  <c r="P50" i="84" s="1"/>
  <c r="P100" i="84" s="1"/>
  <c r="T54" i="81"/>
  <c r="T55" i="81" s="1"/>
  <c r="V55" i="81"/>
  <c r="R54" i="81"/>
  <c r="R55" i="81" s="1"/>
  <c r="G15" i="74"/>
  <c r="R45" i="81"/>
  <c r="M50" i="84" l="1"/>
  <c r="O50" i="84"/>
  <c r="G108" i="84"/>
  <c r="S40" i="84"/>
  <c r="K104" i="84" l="1"/>
  <c r="M104" i="84" s="1"/>
  <c r="L14" i="1"/>
  <c r="D88" i="86" l="1"/>
  <c r="E89" i="86"/>
  <c r="D86" i="86"/>
  <c r="D89" i="86" s="1"/>
  <c r="B89" i="86"/>
  <c r="K87" i="86"/>
  <c r="D94" i="86"/>
  <c r="D87" i="86"/>
  <c r="C89" i="86"/>
  <c r="F89" i="86"/>
  <c r="G89" i="86"/>
  <c r="I89" i="86"/>
  <c r="J89" i="86"/>
  <c r="K89" i="86"/>
  <c r="N86" i="86"/>
  <c r="H86" i="86"/>
  <c r="H89" i="86" s="1"/>
  <c r="E86" i="86"/>
  <c r="R43" i="81"/>
  <c r="R44" i="81" s="1"/>
  <c r="S43" i="81"/>
  <c r="Q43" i="81"/>
  <c r="R40" i="81"/>
  <c r="S40" i="81"/>
  <c r="S44" i="81" s="1"/>
  <c r="Q40" i="81"/>
  <c r="Q44" i="81" s="1"/>
  <c r="R32" i="81"/>
  <c r="S32" i="81"/>
  <c r="Q32" i="81"/>
  <c r="R29" i="81"/>
  <c r="O87" i="77" l="1"/>
  <c r="O88" i="77"/>
  <c r="O4" i="77"/>
  <c r="O5" i="77"/>
  <c r="O8" i="77"/>
  <c r="O10" i="77"/>
  <c r="O13" i="77"/>
  <c r="O16" i="77"/>
  <c r="O26" i="77"/>
  <c r="O51" i="77"/>
  <c r="O54" i="77"/>
  <c r="O68" i="77"/>
  <c r="O69" i="77"/>
  <c r="O72" i="77"/>
  <c r="O75" i="77"/>
  <c r="O81" i="77"/>
  <c r="O86" i="77"/>
  <c r="O3"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3" i="77"/>
  <c r="C15" i="74" l="1"/>
  <c r="B15" i="74"/>
  <c r="P109" i="77"/>
  <c r="S14" i="3" l="1"/>
  <c r="I14" i="3"/>
  <c r="Q14" i="3"/>
  <c r="F843" i="83"/>
  <c r="E842" i="83"/>
  <c r="D842" i="83"/>
  <c r="K841" i="83"/>
  <c r="L841" i="83" s="1"/>
  <c r="G841" i="83"/>
  <c r="G840" i="83"/>
  <c r="G839" i="83"/>
  <c r="G838" i="83"/>
  <c r="G837" i="83"/>
  <c r="G836" i="83"/>
  <c r="G835" i="83"/>
  <c r="K835" i="83" s="1"/>
  <c r="L835" i="83" s="1"/>
  <c r="G834" i="83"/>
  <c r="K834" i="83" s="1"/>
  <c r="L834" i="83" s="1"/>
  <c r="G833" i="83"/>
  <c r="K833" i="83" s="1"/>
  <c r="L833" i="83" s="1"/>
  <c r="G832" i="83"/>
  <c r="K832" i="83" s="1"/>
  <c r="L832" i="83" s="1"/>
  <c r="G831" i="83"/>
  <c r="K831" i="83" s="1"/>
  <c r="L831" i="83" s="1"/>
  <c r="G830" i="83"/>
  <c r="G829" i="83"/>
  <c r="G828" i="83"/>
  <c r="G827" i="83"/>
  <c r="G826" i="83"/>
  <c r="G825" i="83"/>
  <c r="K825" i="83" s="1"/>
  <c r="L825" i="83" s="1"/>
  <c r="G824" i="83"/>
  <c r="K824" i="83" s="1"/>
  <c r="L824" i="83" s="1"/>
  <c r="K823" i="83"/>
  <c r="L823" i="83" s="1"/>
  <c r="G823" i="83"/>
  <c r="H822" i="83"/>
  <c r="G822" i="83"/>
  <c r="K822" i="83" s="1"/>
  <c r="L822" i="83" s="1"/>
  <c r="G821" i="83"/>
  <c r="G820" i="83"/>
  <c r="G819" i="83"/>
  <c r="G818" i="83"/>
  <c r="K817" i="83"/>
  <c r="L817" i="83" s="1"/>
  <c r="G817" i="83"/>
  <c r="L816" i="83"/>
  <c r="G816" i="83"/>
  <c r="K816" i="83" s="1"/>
  <c r="K815" i="83"/>
  <c r="L815" i="83" s="1"/>
  <c r="G815" i="83"/>
  <c r="H814" i="83"/>
  <c r="G814" i="83"/>
  <c r="K814" i="83" s="1"/>
  <c r="L814" i="83" s="1"/>
  <c r="G813" i="83"/>
  <c r="G812" i="83"/>
  <c r="G811" i="83"/>
  <c r="G810" i="83"/>
  <c r="G809" i="83"/>
  <c r="G808" i="83"/>
  <c r="G807" i="83"/>
  <c r="K807" i="83" s="1"/>
  <c r="L807" i="83" s="1"/>
  <c r="G806" i="83"/>
  <c r="K806" i="83" s="1"/>
  <c r="L806" i="83" s="1"/>
  <c r="K805" i="83"/>
  <c r="L805" i="83" s="1"/>
  <c r="G805" i="83"/>
  <c r="G804" i="83"/>
  <c r="G803" i="83"/>
  <c r="K803" i="83" s="1"/>
  <c r="L803" i="83" s="1"/>
  <c r="G802" i="83"/>
  <c r="K802" i="83" s="1"/>
  <c r="L802" i="83" s="1"/>
  <c r="J801" i="83"/>
  <c r="J813" i="83" s="1"/>
  <c r="G801" i="83"/>
  <c r="G800" i="83"/>
  <c r="G799" i="83"/>
  <c r="G798" i="83"/>
  <c r="G797" i="83"/>
  <c r="G796" i="83"/>
  <c r="G795" i="83"/>
  <c r="K795" i="83" s="1"/>
  <c r="L795" i="83" s="1"/>
  <c r="G794" i="83"/>
  <c r="K794" i="83" s="1"/>
  <c r="L794" i="83" s="1"/>
  <c r="G793" i="83"/>
  <c r="K793" i="83" s="1"/>
  <c r="L793" i="83" s="1"/>
  <c r="G792" i="83"/>
  <c r="K792" i="83" s="1"/>
  <c r="L792" i="83" s="1"/>
  <c r="G791" i="83"/>
  <c r="K791" i="83" s="1"/>
  <c r="L791" i="83" s="1"/>
  <c r="G790" i="83"/>
  <c r="G789" i="83"/>
  <c r="G788" i="83"/>
  <c r="G787" i="83"/>
  <c r="G786" i="83"/>
  <c r="H782" i="83" s="1"/>
  <c r="G785" i="83"/>
  <c r="K785" i="83" s="1"/>
  <c r="L785" i="83" s="1"/>
  <c r="G784" i="83"/>
  <c r="K784" i="83" s="1"/>
  <c r="L784" i="83" s="1"/>
  <c r="K783" i="83"/>
  <c r="L783" i="83" s="1"/>
  <c r="G783" i="83"/>
  <c r="G782" i="83"/>
  <c r="K782" i="83" s="1"/>
  <c r="L782" i="83" s="1"/>
  <c r="L781" i="83"/>
  <c r="G781" i="83"/>
  <c r="K781" i="83" s="1"/>
  <c r="G780" i="83"/>
  <c r="G779" i="83"/>
  <c r="G778" i="83"/>
  <c r="G777" i="83"/>
  <c r="G776" i="83"/>
  <c r="G775" i="83"/>
  <c r="K775" i="83" s="1"/>
  <c r="L775" i="83" s="1"/>
  <c r="K774" i="83"/>
  <c r="L774" i="83" s="1"/>
  <c r="G774" i="83"/>
  <c r="G773" i="83"/>
  <c r="K773" i="83" s="1"/>
  <c r="L773" i="83" s="1"/>
  <c r="G772" i="83"/>
  <c r="K772" i="83" s="1"/>
  <c r="L772" i="83" s="1"/>
  <c r="G771" i="83"/>
  <c r="G770" i="83"/>
  <c r="K770" i="83" s="1"/>
  <c r="L770" i="83" s="1"/>
  <c r="G769" i="83"/>
  <c r="G768" i="83"/>
  <c r="G767" i="83"/>
  <c r="G766" i="83"/>
  <c r="G765" i="83"/>
  <c r="K765" i="83" s="1"/>
  <c r="L765" i="83" s="1"/>
  <c r="G764" i="83"/>
  <c r="K763" i="83"/>
  <c r="L763" i="83" s="1"/>
  <c r="G763" i="83"/>
  <c r="G762" i="83"/>
  <c r="K762" i="83" s="1"/>
  <c r="L762" i="83" s="1"/>
  <c r="G761" i="83"/>
  <c r="G760" i="83"/>
  <c r="G759" i="83"/>
  <c r="G758" i="83"/>
  <c r="G757" i="83"/>
  <c r="K757" i="83" s="1"/>
  <c r="L757" i="83" s="1"/>
  <c r="G756" i="83"/>
  <c r="K756" i="83" s="1"/>
  <c r="L756" i="83" s="1"/>
  <c r="G755" i="83"/>
  <c r="K755" i="83" s="1"/>
  <c r="L755" i="83" s="1"/>
  <c r="G754" i="83"/>
  <c r="G753" i="83"/>
  <c r="G752" i="83"/>
  <c r="G751" i="83"/>
  <c r="G750" i="83"/>
  <c r="G749" i="83"/>
  <c r="G748" i="83"/>
  <c r="K747" i="83"/>
  <c r="L747" i="83" s="1"/>
  <c r="G747" i="83"/>
  <c r="G746" i="83"/>
  <c r="K746" i="83" s="1"/>
  <c r="L746" i="83" s="1"/>
  <c r="G745" i="83"/>
  <c r="K745" i="83" s="1"/>
  <c r="L745" i="83" s="1"/>
  <c r="G744" i="83"/>
  <c r="K744" i="83" s="1"/>
  <c r="L744" i="83" s="1"/>
  <c r="K743" i="83"/>
  <c r="L743" i="83" s="1"/>
  <c r="G743" i="83"/>
  <c r="G742" i="83"/>
  <c r="K742" i="83" s="1"/>
  <c r="L742" i="83" s="1"/>
  <c r="G741" i="83"/>
  <c r="G740" i="83"/>
  <c r="G739" i="83"/>
  <c r="G738" i="83"/>
  <c r="K737" i="83"/>
  <c r="L737" i="83" s="1"/>
  <c r="G737" i="83"/>
  <c r="L736" i="83"/>
  <c r="G736" i="83"/>
  <c r="K736" i="83" s="1"/>
  <c r="K735" i="83"/>
  <c r="L735" i="83" s="1"/>
  <c r="G735" i="83"/>
  <c r="H734" i="83"/>
  <c r="G734" i="83"/>
  <c r="K734" i="83" s="1"/>
  <c r="L734" i="83" s="1"/>
  <c r="J733" i="83"/>
  <c r="J753" i="83" s="1"/>
  <c r="G733" i="83"/>
  <c r="G732" i="83"/>
  <c r="G731" i="83"/>
  <c r="G730" i="83"/>
  <c r="G729" i="83"/>
  <c r="G728" i="83"/>
  <c r="G727" i="83"/>
  <c r="K727" i="83" s="1"/>
  <c r="L727" i="83" s="1"/>
  <c r="G726" i="83"/>
  <c r="K726" i="83" s="1"/>
  <c r="L726" i="83" s="1"/>
  <c r="K725" i="83"/>
  <c r="L725" i="83" s="1"/>
  <c r="G725" i="83"/>
  <c r="G724" i="83"/>
  <c r="G723" i="83"/>
  <c r="K723" i="83" s="1"/>
  <c r="L723" i="83" s="1"/>
  <c r="G722" i="83"/>
  <c r="K722" i="83" s="1"/>
  <c r="L722" i="83" s="1"/>
  <c r="L721" i="83"/>
  <c r="G721" i="83"/>
  <c r="K721" i="83" s="1"/>
  <c r="G720" i="83"/>
  <c r="G719" i="83"/>
  <c r="G718" i="83"/>
  <c r="G717" i="83"/>
  <c r="G716" i="83"/>
  <c r="G715" i="83"/>
  <c r="K715" i="83" s="1"/>
  <c r="L715" i="83" s="1"/>
  <c r="K714" i="83"/>
  <c r="L714" i="83" s="1"/>
  <c r="G714" i="83"/>
  <c r="G713" i="83"/>
  <c r="K713" i="83" s="1"/>
  <c r="L713" i="83" s="1"/>
  <c r="G712" i="83"/>
  <c r="K712" i="83" s="1"/>
  <c r="L712" i="83" s="1"/>
  <c r="G711" i="83"/>
  <c r="K711" i="83" s="1"/>
  <c r="L711" i="83" s="1"/>
  <c r="G710" i="83"/>
  <c r="G709" i="83"/>
  <c r="G708" i="83"/>
  <c r="G707" i="83"/>
  <c r="J706" i="83"/>
  <c r="G706" i="83"/>
  <c r="L705" i="83"/>
  <c r="G705" i="83"/>
  <c r="K705" i="83" s="1"/>
  <c r="K704" i="83"/>
  <c r="L704" i="83" s="1"/>
  <c r="G704" i="83"/>
  <c r="L703" i="83"/>
  <c r="G703" i="83"/>
  <c r="K703" i="83" s="1"/>
  <c r="K702" i="83"/>
  <c r="L702" i="83" s="1"/>
  <c r="G702" i="83"/>
  <c r="G701" i="83"/>
  <c r="G700" i="83"/>
  <c r="G699" i="83"/>
  <c r="J698" i="83"/>
  <c r="G698" i="83"/>
  <c r="K698" i="83" s="1"/>
  <c r="L698" i="83" s="1"/>
  <c r="G697" i="83"/>
  <c r="K697" i="83" s="1"/>
  <c r="L697" i="83" s="1"/>
  <c r="K696" i="83"/>
  <c r="L696" i="83" s="1"/>
  <c r="G696" i="83"/>
  <c r="G695" i="83"/>
  <c r="K695" i="83" s="1"/>
  <c r="L695" i="83" s="1"/>
  <c r="G694" i="83"/>
  <c r="K693" i="83"/>
  <c r="L693" i="83" s="1"/>
  <c r="G693" i="83"/>
  <c r="G692" i="83"/>
  <c r="G691" i="83"/>
  <c r="G690" i="83"/>
  <c r="G689" i="83"/>
  <c r="G688" i="83"/>
  <c r="G687" i="83"/>
  <c r="K687" i="83" s="1"/>
  <c r="L687" i="83" s="1"/>
  <c r="G686" i="83"/>
  <c r="K686" i="83" s="1"/>
  <c r="L686" i="83" s="1"/>
  <c r="G685" i="83"/>
  <c r="K685" i="83" s="1"/>
  <c r="L685" i="83" s="1"/>
  <c r="G684" i="83"/>
  <c r="K684" i="83" s="1"/>
  <c r="L684" i="83" s="1"/>
  <c r="G683" i="83"/>
  <c r="K683" i="83" s="1"/>
  <c r="L683" i="83" s="1"/>
  <c r="G682" i="83"/>
  <c r="G681" i="83"/>
  <c r="G680" i="83"/>
  <c r="J679" i="83"/>
  <c r="G679" i="83"/>
  <c r="K679" i="83" s="1"/>
  <c r="G678" i="83"/>
  <c r="K678" i="83" s="1"/>
  <c r="L678" i="83" s="1"/>
  <c r="G677" i="83"/>
  <c r="K677" i="83" s="1"/>
  <c r="L677" i="83" s="1"/>
  <c r="G676" i="83"/>
  <c r="G675" i="83"/>
  <c r="G674" i="83"/>
  <c r="G673" i="83"/>
  <c r="J672" i="83"/>
  <c r="G672" i="83"/>
  <c r="L671" i="83"/>
  <c r="G671" i="83"/>
  <c r="K671" i="83" s="1"/>
  <c r="K670" i="83"/>
  <c r="L670" i="83" s="1"/>
  <c r="G670" i="83"/>
  <c r="L669" i="83"/>
  <c r="G669" i="83"/>
  <c r="K669" i="83" s="1"/>
  <c r="K668" i="83"/>
  <c r="L668" i="83" s="1"/>
  <c r="G668" i="83"/>
  <c r="G667" i="83"/>
  <c r="G666" i="83"/>
  <c r="G665" i="83"/>
  <c r="J664" i="83"/>
  <c r="G664" i="83"/>
  <c r="K664" i="83" s="1"/>
  <c r="L664" i="83" s="1"/>
  <c r="G663" i="83"/>
  <c r="K663" i="83" s="1"/>
  <c r="L663" i="83" s="1"/>
  <c r="K662" i="83"/>
  <c r="L662" i="83" s="1"/>
  <c r="G662" i="83"/>
  <c r="G661" i="83"/>
  <c r="K661" i="83" s="1"/>
  <c r="L661" i="83" s="1"/>
  <c r="G660" i="83"/>
  <c r="K659" i="83"/>
  <c r="L659" i="83" s="1"/>
  <c r="G659" i="83"/>
  <c r="G658" i="83"/>
  <c r="G657" i="83"/>
  <c r="G656" i="83"/>
  <c r="G655" i="83"/>
  <c r="G654" i="83"/>
  <c r="G653" i="83"/>
  <c r="G652" i="83"/>
  <c r="G651" i="83"/>
  <c r="K651" i="83" s="1"/>
  <c r="L651" i="83" s="1"/>
  <c r="G650" i="83"/>
  <c r="K650" i="83" s="1"/>
  <c r="L650" i="83" s="1"/>
  <c r="G649" i="83"/>
  <c r="K649" i="83" s="1"/>
  <c r="L649" i="83" s="1"/>
  <c r="G648" i="83"/>
  <c r="K648" i="83" s="1"/>
  <c r="L648" i="83" s="1"/>
  <c r="G647" i="83"/>
  <c r="K647" i="83" s="1"/>
  <c r="L647" i="83" s="1"/>
  <c r="G646" i="83"/>
  <c r="K646" i="83" s="1"/>
  <c r="L646" i="83" s="1"/>
  <c r="G645" i="83"/>
  <c r="K645" i="83" s="1"/>
  <c r="L645" i="83" s="1"/>
  <c r="G644" i="83"/>
  <c r="G643" i="83"/>
  <c r="K643" i="83" s="1"/>
  <c r="L643" i="83" s="1"/>
  <c r="G642" i="83"/>
  <c r="G641" i="83"/>
  <c r="G640" i="83"/>
  <c r="G639" i="83"/>
  <c r="G638" i="83"/>
  <c r="G637" i="83"/>
  <c r="K637" i="83" s="1"/>
  <c r="L637" i="83" s="1"/>
  <c r="G636" i="83"/>
  <c r="K636" i="83" s="1"/>
  <c r="L636" i="83" s="1"/>
  <c r="G635" i="83"/>
  <c r="K635" i="83" s="1"/>
  <c r="L635" i="83" s="1"/>
  <c r="G634" i="83"/>
  <c r="K634" i="83" s="1"/>
  <c r="L634" i="83" s="1"/>
  <c r="G633" i="83"/>
  <c r="K633" i="83" s="1"/>
  <c r="L633" i="83" s="1"/>
  <c r="G632" i="83"/>
  <c r="K632" i="83" s="1"/>
  <c r="L632" i="83" s="1"/>
  <c r="G631" i="83"/>
  <c r="G630" i="83"/>
  <c r="J629" i="83"/>
  <c r="G629" i="83"/>
  <c r="K629" i="83" s="1"/>
  <c r="L629" i="83" s="1"/>
  <c r="G628" i="83"/>
  <c r="K628" i="83" s="1"/>
  <c r="L628" i="83" s="1"/>
  <c r="K627" i="83"/>
  <c r="L627" i="83" s="1"/>
  <c r="G627" i="83"/>
  <c r="G626" i="83"/>
  <c r="K626" i="83" s="1"/>
  <c r="L626" i="83" s="1"/>
  <c r="G625" i="83"/>
  <c r="G624" i="83"/>
  <c r="G623" i="83"/>
  <c r="J622" i="83"/>
  <c r="J624" i="83" s="1"/>
  <c r="G622" i="83"/>
  <c r="K621" i="83"/>
  <c r="L621" i="83" s="1"/>
  <c r="G621" i="83"/>
  <c r="G620" i="83"/>
  <c r="K620" i="83" s="1"/>
  <c r="L620" i="83" s="1"/>
  <c r="G619" i="83"/>
  <c r="K619" i="83" s="1"/>
  <c r="L619" i="83" s="1"/>
  <c r="G618" i="83"/>
  <c r="G617" i="83"/>
  <c r="K617" i="83" s="1"/>
  <c r="L617" i="83" s="1"/>
  <c r="G616" i="83"/>
  <c r="G615" i="83"/>
  <c r="G614" i="83"/>
  <c r="G613" i="83"/>
  <c r="G612" i="83"/>
  <c r="G611" i="83"/>
  <c r="G610" i="83"/>
  <c r="G609" i="83"/>
  <c r="K609" i="83" s="1"/>
  <c r="L609" i="83" s="1"/>
  <c r="G608" i="83"/>
  <c r="K608" i="83" s="1"/>
  <c r="L608" i="83" s="1"/>
  <c r="G607" i="83"/>
  <c r="K607" i="83" s="1"/>
  <c r="L607" i="83" s="1"/>
  <c r="K606" i="83"/>
  <c r="L606" i="83" s="1"/>
  <c r="G606" i="83"/>
  <c r="G605" i="83"/>
  <c r="K605" i="83" s="1"/>
  <c r="L605" i="83" s="1"/>
  <c r="G604" i="83"/>
  <c r="K604" i="83" s="1"/>
  <c r="L604" i="83" s="1"/>
  <c r="G603" i="83"/>
  <c r="K603" i="83" s="1"/>
  <c r="L603" i="83" s="1"/>
  <c r="G602" i="83"/>
  <c r="J601" i="83"/>
  <c r="G601" i="83"/>
  <c r="K601" i="83" s="1"/>
  <c r="G600" i="83"/>
  <c r="G599" i="83"/>
  <c r="G598" i="83"/>
  <c r="G597" i="83"/>
  <c r="G596" i="83"/>
  <c r="G595" i="83"/>
  <c r="K595" i="83" s="1"/>
  <c r="L595" i="83" s="1"/>
  <c r="G594" i="83"/>
  <c r="K594" i="83" s="1"/>
  <c r="L594" i="83" s="1"/>
  <c r="G593" i="83"/>
  <c r="K593" i="83" s="1"/>
  <c r="L593" i="83" s="1"/>
  <c r="K592" i="83"/>
  <c r="L592" i="83" s="1"/>
  <c r="G592" i="83"/>
  <c r="G591" i="83"/>
  <c r="K591" i="83" s="1"/>
  <c r="L591" i="83" s="1"/>
  <c r="G590" i="83"/>
  <c r="K589" i="83"/>
  <c r="L589" i="83" s="1"/>
  <c r="G589" i="83"/>
  <c r="G588" i="83"/>
  <c r="G587" i="83"/>
  <c r="G586" i="83"/>
  <c r="G585" i="83"/>
  <c r="G584" i="83"/>
  <c r="G583" i="83"/>
  <c r="K583" i="83" s="1"/>
  <c r="L583" i="83" s="1"/>
  <c r="G582" i="83"/>
  <c r="K582" i="83" s="1"/>
  <c r="L582" i="83" s="1"/>
  <c r="G581" i="83"/>
  <c r="K581" i="83" s="1"/>
  <c r="L581" i="83" s="1"/>
  <c r="G580" i="83"/>
  <c r="K580" i="83" s="1"/>
  <c r="L580" i="83" s="1"/>
  <c r="G579" i="83"/>
  <c r="K579" i="83" s="1"/>
  <c r="L579" i="83" s="1"/>
  <c r="G578" i="83"/>
  <c r="J577" i="83"/>
  <c r="G577" i="83"/>
  <c r="G576" i="83"/>
  <c r="G575" i="83"/>
  <c r="G574" i="83"/>
  <c r="G573" i="83"/>
  <c r="G572" i="83"/>
  <c r="G571" i="83"/>
  <c r="G570" i="83"/>
  <c r="K569" i="83"/>
  <c r="L569" i="83" s="1"/>
  <c r="G569" i="83"/>
  <c r="G568" i="83"/>
  <c r="K568" i="83" s="1"/>
  <c r="L568" i="83" s="1"/>
  <c r="G567" i="83"/>
  <c r="K567" i="83" s="1"/>
  <c r="L567" i="83" s="1"/>
  <c r="G566" i="83"/>
  <c r="K566" i="83" s="1"/>
  <c r="L566" i="83" s="1"/>
  <c r="K565" i="83"/>
  <c r="L565" i="83" s="1"/>
  <c r="G565" i="83"/>
  <c r="G564" i="83"/>
  <c r="K564" i="83" s="1"/>
  <c r="L564" i="83" s="1"/>
  <c r="G563" i="83"/>
  <c r="K563" i="83" s="1"/>
  <c r="L563" i="83" s="1"/>
  <c r="G562" i="83"/>
  <c r="K562" i="83" s="1"/>
  <c r="L562" i="83" s="1"/>
  <c r="L561" i="83"/>
  <c r="G561" i="83"/>
  <c r="K561" i="83" s="1"/>
  <c r="G560" i="83"/>
  <c r="G559" i="83"/>
  <c r="G558" i="83"/>
  <c r="G557" i="83"/>
  <c r="G556" i="83"/>
  <c r="G555" i="83"/>
  <c r="G554" i="83"/>
  <c r="G553" i="83"/>
  <c r="K553" i="83" s="1"/>
  <c r="L553" i="83" s="1"/>
  <c r="K552" i="83"/>
  <c r="L552" i="83" s="1"/>
  <c r="G552" i="83"/>
  <c r="G551" i="83"/>
  <c r="K551" i="83" s="1"/>
  <c r="L551" i="83" s="1"/>
  <c r="G550" i="83"/>
  <c r="K550" i="83" s="1"/>
  <c r="L550" i="83" s="1"/>
  <c r="G549" i="83"/>
  <c r="K549" i="83" s="1"/>
  <c r="L549" i="83" s="1"/>
  <c r="K548" i="83"/>
  <c r="L548" i="83" s="1"/>
  <c r="G548" i="83"/>
  <c r="G547" i="83"/>
  <c r="K547" i="83" s="1"/>
  <c r="L547" i="83" s="1"/>
  <c r="G546" i="83"/>
  <c r="G545" i="83"/>
  <c r="G544" i="83"/>
  <c r="G543" i="83"/>
  <c r="K543" i="83" s="1"/>
  <c r="L543" i="83" s="1"/>
  <c r="G542" i="83"/>
  <c r="K542" i="83" s="1"/>
  <c r="L542" i="83" s="1"/>
  <c r="G541" i="83"/>
  <c r="J540" i="83"/>
  <c r="J544" i="83" s="1"/>
  <c r="G540" i="83"/>
  <c r="G539" i="83"/>
  <c r="K539" i="83" s="1"/>
  <c r="L539" i="83" s="1"/>
  <c r="G538" i="83"/>
  <c r="J537" i="83"/>
  <c r="G537" i="83"/>
  <c r="G536" i="83"/>
  <c r="G535" i="83"/>
  <c r="G534" i="83"/>
  <c r="G533" i="83"/>
  <c r="G532" i="83"/>
  <c r="G531" i="83"/>
  <c r="G530" i="83"/>
  <c r="G529" i="83"/>
  <c r="K529" i="83" s="1"/>
  <c r="L529" i="83" s="1"/>
  <c r="K528" i="83"/>
  <c r="L528" i="83" s="1"/>
  <c r="G528" i="83"/>
  <c r="G527" i="83"/>
  <c r="K527" i="83" s="1"/>
  <c r="L527" i="83" s="1"/>
  <c r="G526" i="83"/>
  <c r="K526" i="83" s="1"/>
  <c r="L526" i="83" s="1"/>
  <c r="G525" i="83"/>
  <c r="K525" i="83" s="1"/>
  <c r="L525" i="83" s="1"/>
  <c r="K524" i="83"/>
  <c r="L524" i="83" s="1"/>
  <c r="G524" i="83"/>
  <c r="G523" i="83"/>
  <c r="K523" i="83" s="1"/>
  <c r="L523" i="83" s="1"/>
  <c r="G522" i="83"/>
  <c r="K521" i="83"/>
  <c r="L521" i="83" s="1"/>
  <c r="G521" i="83"/>
  <c r="G520" i="83"/>
  <c r="G519" i="83"/>
  <c r="G518" i="83"/>
  <c r="G517" i="83"/>
  <c r="G516" i="83"/>
  <c r="G515" i="83"/>
  <c r="G514" i="83"/>
  <c r="G513" i="83"/>
  <c r="K513" i="83" s="1"/>
  <c r="L513" i="83" s="1"/>
  <c r="G512" i="83"/>
  <c r="K512" i="83" s="1"/>
  <c r="L512" i="83" s="1"/>
  <c r="G511" i="83"/>
  <c r="K511" i="83" s="1"/>
  <c r="L511" i="83" s="1"/>
  <c r="G510" i="83"/>
  <c r="K510" i="83" s="1"/>
  <c r="L510" i="83" s="1"/>
  <c r="G509" i="83"/>
  <c r="K509" i="83" s="1"/>
  <c r="L509" i="83" s="1"/>
  <c r="G508" i="83"/>
  <c r="K508" i="83" s="1"/>
  <c r="L508" i="83" s="1"/>
  <c r="G507" i="83"/>
  <c r="K507" i="83" s="1"/>
  <c r="L507" i="83" s="1"/>
  <c r="G506" i="83"/>
  <c r="G505" i="83"/>
  <c r="G504" i="83"/>
  <c r="G503" i="83"/>
  <c r="G502" i="83"/>
  <c r="G501" i="83"/>
  <c r="G500" i="83"/>
  <c r="G499" i="83"/>
  <c r="K499" i="83" s="1"/>
  <c r="L499" i="83" s="1"/>
  <c r="G498" i="83"/>
  <c r="K498" i="83" s="1"/>
  <c r="L498" i="83" s="1"/>
  <c r="G497" i="83"/>
  <c r="K497" i="83" s="1"/>
  <c r="L497" i="83" s="1"/>
  <c r="G496" i="83"/>
  <c r="K496" i="83" s="1"/>
  <c r="L496" i="83" s="1"/>
  <c r="K495" i="83"/>
  <c r="L495" i="83" s="1"/>
  <c r="G495" i="83"/>
  <c r="H494" i="83"/>
  <c r="G494" i="83"/>
  <c r="K494" i="83" s="1"/>
  <c r="L494" i="83" s="1"/>
  <c r="G493" i="83"/>
  <c r="G492" i="83"/>
  <c r="G491" i="83"/>
  <c r="G490" i="83"/>
  <c r="G489" i="83"/>
  <c r="G488" i="83"/>
  <c r="G487" i="83"/>
  <c r="K487" i="83" s="1"/>
  <c r="L487" i="83" s="1"/>
  <c r="G486" i="83"/>
  <c r="K486" i="83" s="1"/>
  <c r="L486" i="83" s="1"/>
  <c r="G485" i="83"/>
  <c r="K485" i="83" s="1"/>
  <c r="L485" i="83" s="1"/>
  <c r="K484" i="83"/>
  <c r="L484" i="83" s="1"/>
  <c r="G484" i="83"/>
  <c r="G483" i="83"/>
  <c r="K483" i="83" s="1"/>
  <c r="L483" i="83" s="1"/>
  <c r="G482" i="83"/>
  <c r="G481" i="83"/>
  <c r="G480" i="83"/>
  <c r="G479" i="83"/>
  <c r="G478" i="83"/>
  <c r="G477" i="83"/>
  <c r="G476" i="83"/>
  <c r="G475" i="83"/>
  <c r="J474" i="83"/>
  <c r="G474" i="83"/>
  <c r="G473" i="83"/>
  <c r="K473" i="83" s="1"/>
  <c r="L473" i="83" s="1"/>
  <c r="G472" i="83"/>
  <c r="K472" i="83" s="1"/>
  <c r="L472" i="83" s="1"/>
  <c r="G471" i="83"/>
  <c r="K471" i="83" s="1"/>
  <c r="L471" i="83" s="1"/>
  <c r="G470" i="83"/>
  <c r="K470" i="83" s="1"/>
  <c r="L470" i="83" s="1"/>
  <c r="G469" i="83"/>
  <c r="K469" i="83" s="1"/>
  <c r="L469" i="83" s="1"/>
  <c r="G468" i="83"/>
  <c r="K468" i="83" s="1"/>
  <c r="L468" i="83" s="1"/>
  <c r="G467" i="83"/>
  <c r="K467" i="83" s="1"/>
  <c r="L467" i="83" s="1"/>
  <c r="G466" i="83"/>
  <c r="K466" i="83" s="1"/>
  <c r="L466" i="83" s="1"/>
  <c r="G465" i="83"/>
  <c r="G464" i="83"/>
  <c r="G463" i="83"/>
  <c r="G462" i="83"/>
  <c r="G461" i="83"/>
  <c r="K461" i="83" s="1"/>
  <c r="L461" i="83" s="1"/>
  <c r="K460" i="83"/>
  <c r="L460" i="83" s="1"/>
  <c r="G460" i="83"/>
  <c r="G459" i="83"/>
  <c r="K459" i="83" s="1"/>
  <c r="L459" i="83" s="1"/>
  <c r="G458" i="83"/>
  <c r="G457" i="83"/>
  <c r="G456" i="83"/>
  <c r="G455" i="83"/>
  <c r="G454" i="83"/>
  <c r="G453" i="83"/>
  <c r="G452" i="83"/>
  <c r="L451" i="83"/>
  <c r="G451" i="83"/>
  <c r="K451" i="83" s="1"/>
  <c r="K450" i="83"/>
  <c r="L450" i="83" s="1"/>
  <c r="G450" i="83"/>
  <c r="L449" i="83"/>
  <c r="G449" i="83"/>
  <c r="K449" i="83" s="1"/>
  <c r="K448" i="83"/>
  <c r="L448" i="83" s="1"/>
  <c r="G448" i="83"/>
  <c r="L447" i="83"/>
  <c r="G447" i="83"/>
  <c r="K447" i="83" s="1"/>
  <c r="K446" i="83"/>
  <c r="L446" i="83" s="1"/>
  <c r="G446" i="83"/>
  <c r="G445" i="83"/>
  <c r="G444" i="83"/>
  <c r="G443" i="83"/>
  <c r="J442" i="83"/>
  <c r="G442" i="83"/>
  <c r="K442" i="83" s="1"/>
  <c r="L442" i="83" s="1"/>
  <c r="G441" i="83"/>
  <c r="K441" i="83" s="1"/>
  <c r="L441" i="83" s="1"/>
  <c r="K440" i="83"/>
  <c r="L440" i="83" s="1"/>
  <c r="G440" i="83"/>
  <c r="G439" i="83"/>
  <c r="K439" i="83" s="1"/>
  <c r="L439" i="83" s="1"/>
  <c r="G438" i="83"/>
  <c r="G437" i="83"/>
  <c r="G436" i="83"/>
  <c r="G435" i="83"/>
  <c r="J434" i="83"/>
  <c r="G434" i="83"/>
  <c r="G433" i="83"/>
  <c r="K433" i="83" s="1"/>
  <c r="L433" i="83" s="1"/>
  <c r="G432" i="83"/>
  <c r="K432" i="83" s="1"/>
  <c r="L432" i="83" s="1"/>
  <c r="G431" i="83"/>
  <c r="K431" i="83" s="1"/>
  <c r="L431" i="83" s="1"/>
  <c r="G430" i="83"/>
  <c r="K430" i="83" s="1"/>
  <c r="L430" i="83" s="1"/>
  <c r="G429" i="83"/>
  <c r="G428" i="83"/>
  <c r="G427" i="83"/>
  <c r="G426" i="83"/>
  <c r="G425" i="83"/>
  <c r="G424" i="83"/>
  <c r="G423" i="83"/>
  <c r="K423" i="83" s="1"/>
  <c r="L423" i="83" s="1"/>
  <c r="K422" i="83"/>
  <c r="L422" i="83" s="1"/>
  <c r="G422" i="83"/>
  <c r="G421" i="83"/>
  <c r="K421" i="83" s="1"/>
  <c r="L421" i="83" s="1"/>
  <c r="G420" i="83"/>
  <c r="K420" i="83" s="1"/>
  <c r="L420" i="83" s="1"/>
  <c r="G419" i="83"/>
  <c r="K419" i="83" s="1"/>
  <c r="L419" i="83" s="1"/>
  <c r="G418" i="83"/>
  <c r="H418" i="83" s="1"/>
  <c r="G417" i="83"/>
  <c r="G416" i="83"/>
  <c r="G415" i="83"/>
  <c r="G414" i="83"/>
  <c r="G413" i="83"/>
  <c r="G412" i="83"/>
  <c r="G411" i="83"/>
  <c r="K411" i="83" s="1"/>
  <c r="L411" i="83" s="1"/>
  <c r="G410" i="83"/>
  <c r="K410" i="83" s="1"/>
  <c r="L410" i="83" s="1"/>
  <c r="G409" i="83"/>
  <c r="K409" i="83" s="1"/>
  <c r="L409" i="83" s="1"/>
  <c r="G408" i="83"/>
  <c r="K408" i="83" s="1"/>
  <c r="L408" i="83" s="1"/>
  <c r="G407" i="83"/>
  <c r="K407" i="83" s="1"/>
  <c r="L407" i="83" s="1"/>
  <c r="G406" i="83"/>
  <c r="K406" i="83" s="1"/>
  <c r="L406" i="83" s="1"/>
  <c r="G405" i="83"/>
  <c r="G404" i="83"/>
  <c r="G403" i="83"/>
  <c r="G402" i="83"/>
  <c r="G401" i="83"/>
  <c r="G400" i="83"/>
  <c r="G399" i="83"/>
  <c r="K399" i="83" s="1"/>
  <c r="L399" i="83" s="1"/>
  <c r="K398" i="83"/>
  <c r="L398" i="83" s="1"/>
  <c r="G398" i="83"/>
  <c r="G397" i="83"/>
  <c r="K397" i="83" s="1"/>
  <c r="L397" i="83" s="1"/>
  <c r="G396" i="83"/>
  <c r="K396" i="83" s="1"/>
  <c r="L396" i="83" s="1"/>
  <c r="G395" i="83"/>
  <c r="K395" i="83" s="1"/>
  <c r="L395" i="83" s="1"/>
  <c r="G394" i="83"/>
  <c r="H394" i="83" s="1"/>
  <c r="G393" i="83"/>
  <c r="G392" i="83"/>
  <c r="G391" i="83"/>
  <c r="G390" i="83"/>
  <c r="G389" i="83"/>
  <c r="G388" i="83"/>
  <c r="G387" i="83"/>
  <c r="K387" i="83" s="1"/>
  <c r="L387" i="83" s="1"/>
  <c r="G386" i="83"/>
  <c r="K386" i="83" s="1"/>
  <c r="L386" i="83" s="1"/>
  <c r="G385" i="83"/>
  <c r="K385" i="83" s="1"/>
  <c r="L385" i="83" s="1"/>
  <c r="G384" i="83"/>
  <c r="K384" i="83" s="1"/>
  <c r="L384" i="83" s="1"/>
  <c r="G383" i="83"/>
  <c r="K383" i="83" s="1"/>
  <c r="L383" i="83" s="1"/>
  <c r="G382" i="83"/>
  <c r="K382" i="83" s="1"/>
  <c r="L382" i="83" s="1"/>
  <c r="G381" i="83"/>
  <c r="G380" i="83"/>
  <c r="G379" i="83"/>
  <c r="G378" i="83"/>
  <c r="G377" i="83"/>
  <c r="G376" i="83"/>
  <c r="G375" i="83"/>
  <c r="K375" i="83" s="1"/>
  <c r="L375" i="83" s="1"/>
  <c r="K374" i="83"/>
  <c r="L374" i="83" s="1"/>
  <c r="G374" i="83"/>
  <c r="G373" i="83"/>
  <c r="K373" i="83" s="1"/>
  <c r="L373" i="83" s="1"/>
  <c r="G372" i="83"/>
  <c r="K372" i="83" s="1"/>
  <c r="L372" i="83" s="1"/>
  <c r="G371" i="83"/>
  <c r="K371" i="83" s="1"/>
  <c r="L371" i="83" s="1"/>
  <c r="G370" i="83"/>
  <c r="H370" i="83" s="1"/>
  <c r="G369" i="83"/>
  <c r="G368" i="83"/>
  <c r="G367" i="83"/>
  <c r="G366" i="83"/>
  <c r="G365" i="83"/>
  <c r="L364" i="83"/>
  <c r="G364" i="83"/>
  <c r="K364" i="83" s="1"/>
  <c r="K363" i="83"/>
  <c r="L363" i="83" s="1"/>
  <c r="G363" i="83"/>
  <c r="L362" i="83"/>
  <c r="G362" i="83"/>
  <c r="K362" i="83" s="1"/>
  <c r="K361" i="83"/>
  <c r="L361" i="83" s="1"/>
  <c r="G361" i="83"/>
  <c r="G360" i="83"/>
  <c r="K360" i="83" s="1"/>
  <c r="L360" i="83" s="1"/>
  <c r="G359" i="83"/>
  <c r="G358" i="83"/>
  <c r="G357" i="83"/>
  <c r="G356" i="83"/>
  <c r="G355" i="83"/>
  <c r="G354" i="83"/>
  <c r="G353" i="83"/>
  <c r="K353" i="83" s="1"/>
  <c r="L353" i="83" s="1"/>
  <c r="G352" i="83"/>
  <c r="K352" i="83" s="1"/>
  <c r="L352" i="83" s="1"/>
  <c r="K351" i="83"/>
  <c r="L351" i="83" s="1"/>
  <c r="G351" i="83"/>
  <c r="G350" i="83"/>
  <c r="K350" i="83" s="1"/>
  <c r="L350" i="83" s="1"/>
  <c r="G349" i="83"/>
  <c r="K349" i="83" s="1"/>
  <c r="L349" i="83" s="1"/>
  <c r="G348" i="83"/>
  <c r="K348" i="83" s="1"/>
  <c r="L348" i="83" s="1"/>
  <c r="G347" i="83"/>
  <c r="G346" i="83"/>
  <c r="G345" i="83"/>
  <c r="G344" i="83"/>
  <c r="G343" i="83"/>
  <c r="G342" i="83"/>
  <c r="G341" i="83"/>
  <c r="K341" i="83" s="1"/>
  <c r="L341" i="83" s="1"/>
  <c r="G340" i="83"/>
  <c r="K340" i="83" s="1"/>
  <c r="L340" i="83" s="1"/>
  <c r="G339" i="83"/>
  <c r="K339" i="83" s="1"/>
  <c r="L339" i="83" s="1"/>
  <c r="G338" i="83"/>
  <c r="K338" i="83" s="1"/>
  <c r="L338" i="83" s="1"/>
  <c r="G337" i="83"/>
  <c r="K337" i="83" s="1"/>
  <c r="L337" i="83" s="1"/>
  <c r="G336" i="83"/>
  <c r="K336" i="83" s="1"/>
  <c r="L336" i="83" s="1"/>
  <c r="G335" i="83"/>
  <c r="G334" i="83"/>
  <c r="G333" i="83"/>
  <c r="G332" i="83"/>
  <c r="G331" i="83"/>
  <c r="G330" i="83"/>
  <c r="G329" i="83"/>
  <c r="K329" i="83" s="1"/>
  <c r="L329" i="83" s="1"/>
  <c r="G328" i="83"/>
  <c r="K328" i="83" s="1"/>
  <c r="L328" i="83" s="1"/>
  <c r="K327" i="83"/>
  <c r="L327" i="83" s="1"/>
  <c r="G327" i="83"/>
  <c r="G326" i="83"/>
  <c r="K326" i="83" s="1"/>
  <c r="L326" i="83" s="1"/>
  <c r="G325" i="83"/>
  <c r="K325" i="83" s="1"/>
  <c r="L325" i="83" s="1"/>
  <c r="G324" i="83"/>
  <c r="K324" i="83" s="1"/>
  <c r="L324" i="83" s="1"/>
  <c r="G323" i="83"/>
  <c r="G322" i="83"/>
  <c r="G321" i="83"/>
  <c r="G320" i="83"/>
  <c r="G319" i="83"/>
  <c r="K318" i="83"/>
  <c r="L318" i="83" s="1"/>
  <c r="G318" i="83"/>
  <c r="G317" i="83"/>
  <c r="K317" i="83" s="1"/>
  <c r="L317" i="83" s="1"/>
  <c r="G316" i="83"/>
  <c r="K316" i="83" s="1"/>
  <c r="L316" i="83" s="1"/>
  <c r="G315" i="83"/>
  <c r="K315" i="83" s="1"/>
  <c r="L315" i="83" s="1"/>
  <c r="G314" i="83"/>
  <c r="H314" i="83" s="1"/>
  <c r="G313" i="83"/>
  <c r="G312" i="83"/>
  <c r="G311" i="83"/>
  <c r="G310" i="83"/>
  <c r="J309" i="83"/>
  <c r="G309" i="83"/>
  <c r="G308" i="83"/>
  <c r="K308" i="83" s="1"/>
  <c r="L308" i="83" s="1"/>
  <c r="G307" i="83"/>
  <c r="K307" i="83" s="1"/>
  <c r="L307" i="83" s="1"/>
  <c r="G306" i="83"/>
  <c r="K306" i="83" s="1"/>
  <c r="L306" i="83" s="1"/>
  <c r="G305" i="83"/>
  <c r="K305" i="83" s="1"/>
  <c r="L305" i="83" s="1"/>
  <c r="G304" i="83"/>
  <c r="K304" i="83" s="1"/>
  <c r="L304" i="83" s="1"/>
  <c r="G303" i="83"/>
  <c r="G302" i="83"/>
  <c r="G301" i="83"/>
  <c r="G300" i="83"/>
  <c r="G299" i="83"/>
  <c r="G298" i="83"/>
  <c r="K297" i="83"/>
  <c r="L297" i="83" s="1"/>
  <c r="G297" i="83"/>
  <c r="G296" i="83"/>
  <c r="K296" i="83" s="1"/>
  <c r="L296" i="83" s="1"/>
  <c r="G295" i="83"/>
  <c r="K295" i="83" s="1"/>
  <c r="L295" i="83" s="1"/>
  <c r="G294" i="83"/>
  <c r="K294" i="83" s="1"/>
  <c r="L294" i="83" s="1"/>
  <c r="K293" i="83"/>
  <c r="L293" i="83" s="1"/>
  <c r="G293" i="83"/>
  <c r="H292" i="83"/>
  <c r="G292" i="83"/>
  <c r="K292" i="83" s="1"/>
  <c r="L292" i="83" s="1"/>
  <c r="G291" i="83"/>
  <c r="G290" i="83"/>
  <c r="G289" i="83"/>
  <c r="G288" i="83"/>
  <c r="G287" i="83"/>
  <c r="G286" i="83"/>
  <c r="K285" i="83"/>
  <c r="L285" i="83" s="1"/>
  <c r="G285" i="83"/>
  <c r="L284" i="83"/>
  <c r="G284" i="83"/>
  <c r="K284" i="83" s="1"/>
  <c r="K283" i="83"/>
  <c r="L283" i="83" s="1"/>
  <c r="G283" i="83"/>
  <c r="L282" i="83"/>
  <c r="G282" i="83"/>
  <c r="K282" i="83" s="1"/>
  <c r="K281" i="83"/>
  <c r="L281" i="83" s="1"/>
  <c r="G281" i="83"/>
  <c r="H280" i="83"/>
  <c r="G280" i="83"/>
  <c r="K280" i="83" s="1"/>
  <c r="L280" i="83" s="1"/>
  <c r="G279" i="83"/>
  <c r="G278" i="83"/>
  <c r="G277" i="83"/>
  <c r="G276" i="83"/>
  <c r="G275" i="83"/>
  <c r="G274" i="83"/>
  <c r="K273" i="83"/>
  <c r="L273" i="83" s="1"/>
  <c r="G273" i="83"/>
  <c r="G272" i="83"/>
  <c r="K272" i="83" s="1"/>
  <c r="L272" i="83" s="1"/>
  <c r="G271" i="83"/>
  <c r="K271" i="83" s="1"/>
  <c r="L271" i="83" s="1"/>
  <c r="G270" i="83"/>
  <c r="K270" i="83" s="1"/>
  <c r="L270" i="83" s="1"/>
  <c r="K269" i="83"/>
  <c r="L269" i="83" s="1"/>
  <c r="G269" i="83"/>
  <c r="H268" i="83"/>
  <c r="G268" i="83"/>
  <c r="K268" i="83" s="1"/>
  <c r="L268" i="83" s="1"/>
  <c r="G267" i="83"/>
  <c r="G266" i="83"/>
  <c r="G265" i="83"/>
  <c r="G264" i="83"/>
  <c r="K264" i="83" s="1"/>
  <c r="L264" i="83" s="1"/>
  <c r="G263" i="83"/>
  <c r="K263" i="83" s="1"/>
  <c r="L263" i="83" s="1"/>
  <c r="G262" i="83"/>
  <c r="H262" i="83" s="1"/>
  <c r="G261" i="83"/>
  <c r="G260" i="83"/>
  <c r="J259" i="83"/>
  <c r="G259" i="83"/>
  <c r="G258" i="83"/>
  <c r="K258" i="83" s="1"/>
  <c r="L258" i="83" s="1"/>
  <c r="G257" i="83"/>
  <c r="K257" i="83" s="1"/>
  <c r="L257" i="83" s="1"/>
  <c r="G256" i="83"/>
  <c r="K256" i="83" s="1"/>
  <c r="L256" i="83" s="1"/>
  <c r="G255" i="83"/>
  <c r="G254" i="83"/>
  <c r="G253" i="83"/>
  <c r="G252" i="83"/>
  <c r="G251" i="83"/>
  <c r="G250" i="83"/>
  <c r="K249" i="83"/>
  <c r="L249" i="83" s="1"/>
  <c r="G249" i="83"/>
  <c r="G248" i="83"/>
  <c r="K248" i="83" s="1"/>
  <c r="L248" i="83" s="1"/>
  <c r="G247" i="83"/>
  <c r="K247" i="83" s="1"/>
  <c r="L247" i="83" s="1"/>
  <c r="G246" i="83"/>
  <c r="K246" i="83" s="1"/>
  <c r="L246" i="83" s="1"/>
  <c r="K245" i="83"/>
  <c r="L245" i="83" s="1"/>
  <c r="G245" i="83"/>
  <c r="H244" i="83"/>
  <c r="G244" i="83"/>
  <c r="K244" i="83" s="1"/>
  <c r="L244" i="83" s="1"/>
  <c r="G243" i="83"/>
  <c r="G242" i="83"/>
  <c r="G241" i="83"/>
  <c r="G240" i="83"/>
  <c r="G239" i="83"/>
  <c r="G238" i="83"/>
  <c r="K237" i="83"/>
  <c r="L237" i="83" s="1"/>
  <c r="G237" i="83"/>
  <c r="L236" i="83"/>
  <c r="G236" i="83"/>
  <c r="K236" i="83" s="1"/>
  <c r="K235" i="83"/>
  <c r="L235" i="83" s="1"/>
  <c r="G235" i="83"/>
  <c r="L234" i="83"/>
  <c r="G234" i="83"/>
  <c r="K234" i="83" s="1"/>
  <c r="K233" i="83"/>
  <c r="L233" i="83" s="1"/>
  <c r="G233" i="83"/>
  <c r="H232" i="83"/>
  <c r="G232" i="83"/>
  <c r="K232" i="83" s="1"/>
  <c r="L232" i="83" s="1"/>
  <c r="G231" i="83"/>
  <c r="G230" i="83"/>
  <c r="G229" i="83"/>
  <c r="J228" i="83"/>
  <c r="J230" i="83" s="1"/>
  <c r="G228" i="83"/>
  <c r="K228" i="83" s="1"/>
  <c r="G227" i="83"/>
  <c r="K227" i="83" s="1"/>
  <c r="L227" i="83" s="1"/>
  <c r="G226" i="83"/>
  <c r="K226" i="83" s="1"/>
  <c r="L226" i="83" s="1"/>
  <c r="G225" i="83"/>
  <c r="K225" i="83" s="1"/>
  <c r="L225" i="83" s="1"/>
  <c r="G224" i="83"/>
  <c r="K224" i="83" s="1"/>
  <c r="L224" i="83" s="1"/>
  <c r="G223" i="83"/>
  <c r="J222" i="83"/>
  <c r="J223" i="83" s="1"/>
  <c r="G222" i="83"/>
  <c r="K221" i="83"/>
  <c r="L221" i="83" s="1"/>
  <c r="G221" i="83"/>
  <c r="H220" i="83"/>
  <c r="G220" i="83"/>
  <c r="K220" i="83" s="1"/>
  <c r="L220" i="83" s="1"/>
  <c r="G219" i="83"/>
  <c r="G218" i="83"/>
  <c r="G217" i="83"/>
  <c r="G216" i="83"/>
  <c r="K215" i="83"/>
  <c r="L215" i="83" s="1"/>
  <c r="G215" i="83"/>
  <c r="G214" i="83"/>
  <c r="K214" i="83" s="1"/>
  <c r="L214" i="83" s="1"/>
  <c r="G213" i="83"/>
  <c r="K213" i="83" s="1"/>
  <c r="L213" i="83" s="1"/>
  <c r="G212" i="83"/>
  <c r="K212" i="83" s="1"/>
  <c r="L212" i="83" s="1"/>
  <c r="G211" i="83"/>
  <c r="G210" i="83"/>
  <c r="G209" i="83"/>
  <c r="G208" i="83"/>
  <c r="G207" i="83"/>
  <c r="G206" i="83"/>
  <c r="G205" i="83"/>
  <c r="K205" i="83" s="1"/>
  <c r="L205" i="83" s="1"/>
  <c r="G204" i="83"/>
  <c r="K204" i="83" s="1"/>
  <c r="L204" i="83" s="1"/>
  <c r="G203" i="83"/>
  <c r="K203" i="83" s="1"/>
  <c r="L203" i="83" s="1"/>
  <c r="G202" i="83"/>
  <c r="K202" i="83" s="1"/>
  <c r="L202" i="83" s="1"/>
  <c r="G201" i="83"/>
  <c r="K201" i="83" s="1"/>
  <c r="L201" i="83" s="1"/>
  <c r="G200" i="83"/>
  <c r="K200" i="83" s="1"/>
  <c r="L200" i="83" s="1"/>
  <c r="G199" i="83"/>
  <c r="G198" i="83"/>
  <c r="G197" i="83"/>
  <c r="G196" i="83"/>
  <c r="G195" i="83"/>
  <c r="G194" i="83"/>
  <c r="G193" i="83"/>
  <c r="K193" i="83" s="1"/>
  <c r="L193" i="83" s="1"/>
  <c r="G192" i="83"/>
  <c r="K192" i="83" s="1"/>
  <c r="L192" i="83" s="1"/>
  <c r="K191" i="83"/>
  <c r="L191" i="83" s="1"/>
  <c r="G191" i="83"/>
  <c r="G190" i="83"/>
  <c r="K190" i="83" s="1"/>
  <c r="L190" i="83" s="1"/>
  <c r="G189" i="83"/>
  <c r="K189" i="83" s="1"/>
  <c r="L189" i="83" s="1"/>
  <c r="G188" i="83"/>
  <c r="K188" i="83" s="1"/>
  <c r="L188" i="83" s="1"/>
  <c r="G187" i="83"/>
  <c r="G186" i="83"/>
  <c r="G185" i="83"/>
  <c r="G184" i="83"/>
  <c r="G183" i="83"/>
  <c r="K183" i="83" s="1"/>
  <c r="L183" i="83" s="1"/>
  <c r="G182" i="83"/>
  <c r="K182" i="83" s="1"/>
  <c r="L182" i="83" s="1"/>
  <c r="G181" i="83"/>
  <c r="K181" i="83" s="1"/>
  <c r="L181" i="83" s="1"/>
  <c r="G180" i="83"/>
  <c r="K180" i="83" s="1"/>
  <c r="L180" i="83" s="1"/>
  <c r="G179" i="83"/>
  <c r="G178" i="83"/>
  <c r="G177" i="83"/>
  <c r="G176" i="83"/>
  <c r="G175" i="83"/>
  <c r="K175" i="83" s="1"/>
  <c r="L175" i="83" s="1"/>
  <c r="G174" i="83"/>
  <c r="K174" i="83" s="1"/>
  <c r="L174" i="83" s="1"/>
  <c r="K173" i="83"/>
  <c r="L173" i="83" s="1"/>
  <c r="G173" i="83"/>
  <c r="H172" i="83"/>
  <c r="G172" i="83"/>
  <c r="K172" i="83" s="1"/>
  <c r="L172" i="83" s="1"/>
  <c r="G171" i="83"/>
  <c r="G170" i="83"/>
  <c r="G169" i="83"/>
  <c r="G168" i="83"/>
  <c r="G167" i="83"/>
  <c r="G166" i="83"/>
  <c r="K165" i="83"/>
  <c r="L165" i="83" s="1"/>
  <c r="G165" i="83"/>
  <c r="L164" i="83"/>
  <c r="G164" i="83"/>
  <c r="K164" i="83" s="1"/>
  <c r="K163" i="83"/>
  <c r="L163" i="83" s="1"/>
  <c r="G163" i="83"/>
  <c r="L162" i="83"/>
  <c r="G162" i="83"/>
  <c r="K162" i="83" s="1"/>
  <c r="K161" i="83"/>
  <c r="L161" i="83" s="1"/>
  <c r="G161" i="83"/>
  <c r="H160" i="83"/>
  <c r="G160" i="83"/>
  <c r="K160" i="83" s="1"/>
  <c r="L160" i="83" s="1"/>
  <c r="G159" i="83"/>
  <c r="G158" i="83"/>
  <c r="G157" i="83"/>
  <c r="G156" i="83"/>
  <c r="K155" i="83"/>
  <c r="L155" i="83" s="1"/>
  <c r="G155" i="83"/>
  <c r="G154" i="83"/>
  <c r="K154" i="83" s="1"/>
  <c r="L154" i="83" s="1"/>
  <c r="G153" i="83"/>
  <c r="K153" i="83" s="1"/>
  <c r="L153" i="83" s="1"/>
  <c r="G152" i="83"/>
  <c r="K152" i="83" s="1"/>
  <c r="L152" i="83" s="1"/>
  <c r="J151" i="83"/>
  <c r="J171" i="83" s="1"/>
  <c r="G151" i="83"/>
  <c r="K151" i="83" s="1"/>
  <c r="L151" i="83" s="1"/>
  <c r="G150" i="83"/>
  <c r="G149" i="83"/>
  <c r="G148" i="83"/>
  <c r="G147" i="83"/>
  <c r="G146" i="83"/>
  <c r="K145" i="83"/>
  <c r="L145" i="83" s="1"/>
  <c r="G145" i="83"/>
  <c r="L144" i="83"/>
  <c r="G144" i="83"/>
  <c r="K144" i="83" s="1"/>
  <c r="K143" i="83"/>
  <c r="L143" i="83" s="1"/>
  <c r="G143" i="83"/>
  <c r="L142" i="83"/>
  <c r="G142" i="83"/>
  <c r="K142" i="83" s="1"/>
  <c r="K141" i="83"/>
  <c r="L141" i="83" s="1"/>
  <c r="G141" i="83"/>
  <c r="H140" i="83"/>
  <c r="G140" i="83"/>
  <c r="K140" i="83" s="1"/>
  <c r="L140" i="83" s="1"/>
  <c r="G139" i="83"/>
  <c r="G138" i="83"/>
  <c r="J137" i="83"/>
  <c r="G137" i="83"/>
  <c r="K136" i="83"/>
  <c r="L136" i="83" s="1"/>
  <c r="G136" i="83"/>
  <c r="G135" i="83"/>
  <c r="K135" i="83" s="1"/>
  <c r="L135" i="83" s="1"/>
  <c r="G134" i="83"/>
  <c r="G133" i="83"/>
  <c r="J132" i="83"/>
  <c r="G132" i="83"/>
  <c r="G131" i="83"/>
  <c r="K131" i="83" s="1"/>
  <c r="L131" i="83" s="1"/>
  <c r="G130" i="83"/>
  <c r="K130" i="83" s="1"/>
  <c r="L130" i="83" s="1"/>
  <c r="G129" i="83"/>
  <c r="K128" i="83"/>
  <c r="G128" i="83"/>
  <c r="G127" i="83"/>
  <c r="J126" i="83"/>
  <c r="G126" i="83"/>
  <c r="K126" i="83" s="1"/>
  <c r="L126" i="83" s="1"/>
  <c r="G125" i="83"/>
  <c r="K125" i="83" s="1"/>
  <c r="L125" i="83" s="1"/>
  <c r="K124" i="83"/>
  <c r="L124" i="83" s="1"/>
  <c r="G124" i="83"/>
  <c r="G123" i="83"/>
  <c r="K123" i="83" s="1"/>
  <c r="L123" i="83" s="1"/>
  <c r="G122" i="83"/>
  <c r="K121" i="83"/>
  <c r="L121" i="83" s="1"/>
  <c r="G121" i="83"/>
  <c r="G120" i="83"/>
  <c r="G119" i="83"/>
  <c r="G118" i="83"/>
  <c r="G117" i="83"/>
  <c r="G116" i="83"/>
  <c r="G115" i="83"/>
  <c r="K115" i="83" s="1"/>
  <c r="L115" i="83" s="1"/>
  <c r="G114" i="83"/>
  <c r="K114" i="83" s="1"/>
  <c r="L114" i="83" s="1"/>
  <c r="G113" i="83"/>
  <c r="K113" i="83" s="1"/>
  <c r="L113" i="83" s="1"/>
  <c r="G112" i="83"/>
  <c r="K112" i="83" s="1"/>
  <c r="L112" i="83" s="1"/>
  <c r="G111" i="83"/>
  <c r="K111" i="83" s="1"/>
  <c r="L111" i="83" s="1"/>
  <c r="G110" i="83"/>
  <c r="K110" i="83" s="1"/>
  <c r="L110" i="83" s="1"/>
  <c r="J109" i="83"/>
  <c r="J129" i="83" s="1"/>
  <c r="G109" i="83"/>
  <c r="J108" i="83"/>
  <c r="J128" i="83" s="1"/>
  <c r="G108" i="83"/>
  <c r="K108" i="83" s="1"/>
  <c r="L108" i="83" s="1"/>
  <c r="J107" i="83"/>
  <c r="J127" i="83" s="1"/>
  <c r="G107" i="83"/>
  <c r="M106" i="83"/>
  <c r="K106" i="83"/>
  <c r="L106" i="83" s="1"/>
  <c r="G106" i="83"/>
  <c r="G105" i="83"/>
  <c r="K105" i="83" s="1"/>
  <c r="L105" i="83" s="1"/>
  <c r="G104" i="83"/>
  <c r="K104" i="83" s="1"/>
  <c r="L104" i="83" s="1"/>
  <c r="G103" i="83"/>
  <c r="K103" i="83" s="1"/>
  <c r="L103" i="83" s="1"/>
  <c r="G102" i="83"/>
  <c r="H102" i="83" s="1"/>
  <c r="J101" i="83"/>
  <c r="G101" i="83"/>
  <c r="K101" i="83" s="1"/>
  <c r="G100" i="83"/>
  <c r="G99" i="83"/>
  <c r="G98" i="83"/>
  <c r="G97" i="83"/>
  <c r="J96" i="83"/>
  <c r="G96" i="83"/>
  <c r="K96" i="83" s="1"/>
  <c r="L96" i="83" s="1"/>
  <c r="G95" i="83"/>
  <c r="K95" i="83" s="1"/>
  <c r="L95" i="83" s="1"/>
  <c r="K94" i="83"/>
  <c r="L94" i="83" s="1"/>
  <c r="G94" i="83"/>
  <c r="G93" i="83"/>
  <c r="K93" i="83" s="1"/>
  <c r="L93" i="83" s="1"/>
  <c r="G92" i="83"/>
  <c r="K92" i="83" s="1"/>
  <c r="L92" i="83" s="1"/>
  <c r="G91" i="83"/>
  <c r="K91" i="83" s="1"/>
  <c r="L91" i="83" s="1"/>
  <c r="G90" i="83"/>
  <c r="H90" i="83" s="1"/>
  <c r="G89" i="83"/>
  <c r="K89" i="83" s="1"/>
  <c r="L89" i="83" s="1"/>
  <c r="J88" i="83"/>
  <c r="G88" i="83"/>
  <c r="J87" i="83"/>
  <c r="G87" i="83"/>
  <c r="K87" i="83" s="1"/>
  <c r="J86" i="83"/>
  <c r="G86" i="83"/>
  <c r="K86" i="83" s="1"/>
  <c r="J85" i="83"/>
  <c r="G85" i="83"/>
  <c r="K85" i="83" s="1"/>
  <c r="M84" i="83"/>
  <c r="K84" i="83"/>
  <c r="L84" i="83" s="1"/>
  <c r="G84" i="83"/>
  <c r="G83" i="83"/>
  <c r="K83" i="83" s="1"/>
  <c r="L83" i="83" s="1"/>
  <c r="G82" i="83"/>
  <c r="K82" i="83" s="1"/>
  <c r="L82" i="83" s="1"/>
  <c r="G81" i="83"/>
  <c r="K81" i="83" s="1"/>
  <c r="L81" i="83" s="1"/>
  <c r="K80" i="83"/>
  <c r="L80" i="83" s="1"/>
  <c r="G80" i="83"/>
  <c r="G79" i="83"/>
  <c r="K79" i="83" s="1"/>
  <c r="L79" i="83" s="1"/>
  <c r="G78" i="83"/>
  <c r="J77" i="83"/>
  <c r="G77" i="83"/>
  <c r="J76" i="83"/>
  <c r="G76" i="83"/>
  <c r="J75" i="83"/>
  <c r="G75" i="83"/>
  <c r="M74" i="83"/>
  <c r="G74" i="83"/>
  <c r="K74" i="83" s="1"/>
  <c r="L74" i="83" s="1"/>
  <c r="K73" i="83"/>
  <c r="L73" i="83" s="1"/>
  <c r="G73" i="83"/>
  <c r="G72" i="83"/>
  <c r="K72" i="83" s="1"/>
  <c r="L72" i="83" s="1"/>
  <c r="G71" i="83"/>
  <c r="K71" i="83" s="1"/>
  <c r="L71" i="83" s="1"/>
  <c r="G70" i="83"/>
  <c r="K70" i="83" s="1"/>
  <c r="L70" i="83" s="1"/>
  <c r="G69" i="83"/>
  <c r="G68" i="83"/>
  <c r="G67" i="83"/>
  <c r="J66" i="83"/>
  <c r="J69" i="83" s="1"/>
  <c r="G66" i="83"/>
  <c r="K65" i="83"/>
  <c r="L65" i="83" s="1"/>
  <c r="G65" i="83"/>
  <c r="G64" i="83"/>
  <c r="K64" i="83" s="1"/>
  <c r="L64" i="83" s="1"/>
  <c r="G63" i="83"/>
  <c r="K63" i="83" s="1"/>
  <c r="L63" i="83" s="1"/>
  <c r="G62" i="83"/>
  <c r="K62" i="83" s="1"/>
  <c r="L62" i="83" s="1"/>
  <c r="G61" i="83"/>
  <c r="K61" i="83" s="1"/>
  <c r="L61" i="83" s="1"/>
  <c r="J60" i="83"/>
  <c r="G60" i="83"/>
  <c r="J59" i="83"/>
  <c r="G59" i="83"/>
  <c r="J58" i="83"/>
  <c r="G58" i="83"/>
  <c r="J57" i="83"/>
  <c r="G57" i="83"/>
  <c r="M56" i="83"/>
  <c r="G56" i="83"/>
  <c r="K56" i="83" s="1"/>
  <c r="L56" i="83" s="1"/>
  <c r="K55" i="83"/>
  <c r="L55" i="83" s="1"/>
  <c r="G55" i="83"/>
  <c r="G54" i="83"/>
  <c r="K54" i="83" s="1"/>
  <c r="L54" i="83" s="1"/>
  <c r="G53" i="83"/>
  <c r="K53" i="83" s="1"/>
  <c r="L53" i="83" s="1"/>
  <c r="G52" i="83"/>
  <c r="K52" i="83" s="1"/>
  <c r="L52" i="83" s="1"/>
  <c r="K51" i="83"/>
  <c r="L51" i="83" s="1"/>
  <c r="G51" i="83"/>
  <c r="H50" i="83"/>
  <c r="G50" i="83"/>
  <c r="K50" i="83" s="1"/>
  <c r="L50" i="83" s="1"/>
  <c r="J49" i="83"/>
  <c r="G49" i="83"/>
  <c r="J48" i="83"/>
  <c r="G48" i="83"/>
  <c r="J47" i="83"/>
  <c r="G47" i="83"/>
  <c r="M46" i="83"/>
  <c r="J46" i="83"/>
  <c r="G46" i="83"/>
  <c r="K46" i="83" s="1"/>
  <c r="G45" i="83"/>
  <c r="K45" i="83" s="1"/>
  <c r="L45" i="83" s="1"/>
  <c r="G44" i="83"/>
  <c r="K44" i="83" s="1"/>
  <c r="L44" i="83" s="1"/>
  <c r="K43" i="83"/>
  <c r="L43" i="83" s="1"/>
  <c r="G43" i="83"/>
  <c r="H42" i="83"/>
  <c r="G42" i="83"/>
  <c r="K42" i="83" s="1"/>
  <c r="L42" i="83" s="1"/>
  <c r="G41" i="83"/>
  <c r="K41" i="83" s="1"/>
  <c r="L41" i="83" s="1"/>
  <c r="J40" i="83"/>
  <c r="G40" i="83"/>
  <c r="K40" i="83" s="1"/>
  <c r="J39" i="83"/>
  <c r="G39" i="83"/>
  <c r="K39" i="83" s="1"/>
  <c r="J38" i="83"/>
  <c r="G38" i="83"/>
  <c r="K38" i="83" s="1"/>
  <c r="J37" i="83"/>
  <c r="G37" i="83"/>
  <c r="K37" i="83" s="1"/>
  <c r="M36" i="83"/>
  <c r="G36" i="83"/>
  <c r="K36" i="83" s="1"/>
  <c r="L36" i="83" s="1"/>
  <c r="G35" i="83"/>
  <c r="K35" i="83" s="1"/>
  <c r="L35" i="83" s="1"/>
  <c r="G34" i="83"/>
  <c r="K34" i="83" s="1"/>
  <c r="L34" i="83" s="1"/>
  <c r="K33" i="83"/>
  <c r="L33" i="83" s="1"/>
  <c r="G33" i="83"/>
  <c r="G32" i="83"/>
  <c r="K32" i="83" s="1"/>
  <c r="L32" i="83" s="1"/>
  <c r="G31" i="83"/>
  <c r="K31" i="83" s="1"/>
  <c r="L31" i="83" s="1"/>
  <c r="G30" i="83"/>
  <c r="K30" i="83" s="1"/>
  <c r="L30" i="83" s="1"/>
  <c r="G29" i="83"/>
  <c r="K29" i="83" s="1"/>
  <c r="L29" i="83" s="1"/>
  <c r="G28" i="83"/>
  <c r="G27" i="83"/>
  <c r="G26" i="83"/>
  <c r="G25" i="83"/>
  <c r="J24" i="83"/>
  <c r="J28" i="83" s="1"/>
  <c r="G24" i="83"/>
  <c r="G23" i="83"/>
  <c r="K23" i="83" s="1"/>
  <c r="L23" i="83" s="1"/>
  <c r="G22" i="83"/>
  <c r="K22" i="83" s="1"/>
  <c r="L22" i="83" s="1"/>
  <c r="G21" i="83"/>
  <c r="K21" i="83" s="1"/>
  <c r="L21" i="83" s="1"/>
  <c r="K20" i="83"/>
  <c r="L20" i="83" s="1"/>
  <c r="G20" i="83"/>
  <c r="G19" i="83"/>
  <c r="K19" i="83" s="1"/>
  <c r="L19" i="83" s="1"/>
  <c r="G18" i="83"/>
  <c r="G17" i="83"/>
  <c r="G16" i="83"/>
  <c r="G15" i="83"/>
  <c r="J14" i="83"/>
  <c r="J17" i="83" s="1"/>
  <c r="G14" i="83"/>
  <c r="K14" i="83" s="1"/>
  <c r="G13" i="83"/>
  <c r="K13" i="83" s="1"/>
  <c r="L13" i="83" s="1"/>
  <c r="K12" i="83"/>
  <c r="L12" i="83" s="1"/>
  <c r="G12" i="83"/>
  <c r="G11" i="83"/>
  <c r="K11" i="83" s="1"/>
  <c r="L11" i="83" s="1"/>
  <c r="G10" i="83"/>
  <c r="G9" i="83"/>
  <c r="J8" i="83"/>
  <c r="J9" i="83" s="1"/>
  <c r="G8" i="83"/>
  <c r="K8" i="83" s="1"/>
  <c r="G7" i="83"/>
  <c r="K7" i="83" s="1"/>
  <c r="L7" i="83" s="1"/>
  <c r="G6" i="83"/>
  <c r="H6" i="83" s="1"/>
  <c r="G5" i="83"/>
  <c r="J4" i="83"/>
  <c r="G4" i="83"/>
  <c r="G3" i="83"/>
  <c r="K3" i="83" s="1"/>
  <c r="L3" i="83" s="1"/>
  <c r="G2" i="83"/>
  <c r="S87" i="77"/>
  <c r="R87" i="77"/>
  <c r="B95" i="77"/>
  <c r="AD13" i="3"/>
  <c r="F109" i="77"/>
  <c r="V91" i="77"/>
  <c r="AN13" i="3" s="1"/>
  <c r="T86" i="77"/>
  <c r="T87" i="77" s="1"/>
  <c r="M88" i="77" s="1"/>
  <c r="S94" i="77"/>
  <c r="T94" i="77"/>
  <c r="K68" i="83" l="1"/>
  <c r="K69" i="83"/>
  <c r="L69" i="83" s="1"/>
  <c r="J138" i="83"/>
  <c r="K230" i="83"/>
  <c r="L230" i="83" s="1"/>
  <c r="K506" i="83"/>
  <c r="L506" i="83" s="1"/>
  <c r="H506" i="83"/>
  <c r="K680" i="83"/>
  <c r="L680" i="83" s="1"/>
  <c r="K682" i="83"/>
  <c r="L682" i="83" s="1"/>
  <c r="H682" i="83"/>
  <c r="K790" i="83"/>
  <c r="L790" i="83" s="1"/>
  <c r="H790" i="83"/>
  <c r="Q13" i="3"/>
  <c r="P92" i="77"/>
  <c r="G842" i="83"/>
  <c r="K4" i="83"/>
  <c r="L4" i="83" s="1"/>
  <c r="H10" i="83"/>
  <c r="H18" i="83"/>
  <c r="K24" i="83"/>
  <c r="H30" i="83"/>
  <c r="L37" i="83"/>
  <c r="L38" i="83"/>
  <c r="L39" i="83"/>
  <c r="L40" i="83"/>
  <c r="L46" i="83"/>
  <c r="K47" i="83"/>
  <c r="L47" i="83" s="1"/>
  <c r="K48" i="83"/>
  <c r="K49" i="83"/>
  <c r="L49" i="83" s="1"/>
  <c r="K57" i="83"/>
  <c r="K58" i="83"/>
  <c r="L58" i="83" s="1"/>
  <c r="K59" i="83"/>
  <c r="K60" i="83"/>
  <c r="L60" i="83" s="1"/>
  <c r="H62" i="83"/>
  <c r="K66" i="83"/>
  <c r="J67" i="83"/>
  <c r="J68" i="83"/>
  <c r="H70" i="83"/>
  <c r="K75" i="83"/>
  <c r="K76" i="83"/>
  <c r="K77" i="83"/>
  <c r="H78" i="83"/>
  <c r="L85" i="83"/>
  <c r="L86" i="83"/>
  <c r="L87" i="83"/>
  <c r="H110" i="83"/>
  <c r="H122" i="83"/>
  <c r="H134" i="83"/>
  <c r="K137" i="83"/>
  <c r="K138" i="83"/>
  <c r="L138" i="83" s="1"/>
  <c r="H152" i="83"/>
  <c r="H180" i="83"/>
  <c r="H188" i="83"/>
  <c r="H200" i="83"/>
  <c r="H212" i="83"/>
  <c r="K222" i="83"/>
  <c r="L222" i="83" s="1"/>
  <c r="M222" i="83"/>
  <c r="H224" i="83"/>
  <c r="J229" i="83"/>
  <c r="H324" i="83"/>
  <c r="H336" i="83"/>
  <c r="H348" i="83"/>
  <c r="H438" i="83"/>
  <c r="H458" i="83"/>
  <c r="H482" i="83"/>
  <c r="L537" i="83"/>
  <c r="K578" i="83"/>
  <c r="L578" i="83" s="1"/>
  <c r="H578" i="83"/>
  <c r="K618" i="83"/>
  <c r="L618" i="83" s="1"/>
  <c r="H618" i="83"/>
  <c r="J623" i="83"/>
  <c r="J625" i="83" s="1"/>
  <c r="K644" i="83"/>
  <c r="L644" i="83" s="1"/>
  <c r="H644" i="83"/>
  <c r="J681" i="83"/>
  <c r="M679" i="83" s="1"/>
  <c r="H742" i="83"/>
  <c r="K754" i="83"/>
  <c r="L754" i="83" s="1"/>
  <c r="H754" i="83"/>
  <c r="K830" i="83"/>
  <c r="L830" i="83" s="1"/>
  <c r="H830" i="83"/>
  <c r="I13" i="3"/>
  <c r="K537" i="83"/>
  <c r="K540" i="83"/>
  <c r="L540" i="83" s="1"/>
  <c r="K622" i="83"/>
  <c r="K623" i="83"/>
  <c r="L623" i="83" s="1"/>
  <c r="J680" i="83"/>
  <c r="K801" i="83"/>
  <c r="L801" i="83" s="1"/>
  <c r="J199" i="83"/>
  <c r="K199" i="83" s="1"/>
  <c r="K9" i="83"/>
  <c r="L9" i="83" s="1"/>
  <c r="K17" i="83"/>
  <c r="L17" i="83" s="1"/>
  <c r="K28" i="83"/>
  <c r="L28" i="83" s="1"/>
  <c r="L48" i="83"/>
  <c r="L57" i="83"/>
  <c r="L59" i="83"/>
  <c r="L66" i="83"/>
  <c r="L75" i="83"/>
  <c r="L76" i="83"/>
  <c r="L77" i="83"/>
  <c r="K2" i="83"/>
  <c r="K6" i="83"/>
  <c r="L6" i="83" s="1"/>
  <c r="L8" i="83"/>
  <c r="K10" i="83"/>
  <c r="L10" i="83" s="1"/>
  <c r="L14" i="83"/>
  <c r="K18" i="83"/>
  <c r="L18" i="83" s="1"/>
  <c r="L24" i="83"/>
  <c r="K78" i="83"/>
  <c r="L78" i="83" s="1"/>
  <c r="L101" i="83"/>
  <c r="K127" i="83"/>
  <c r="L127" i="83" s="1"/>
  <c r="K129" i="83"/>
  <c r="L129" i="83" s="1"/>
  <c r="J133" i="83"/>
  <c r="M132" i="83" s="1"/>
  <c r="K171" i="83"/>
  <c r="L171" i="83" s="1"/>
  <c r="L228" i="83"/>
  <c r="J231" i="83"/>
  <c r="J265" i="83"/>
  <c r="J260" i="83"/>
  <c r="J319" i="83"/>
  <c r="J312" i="83"/>
  <c r="J311" i="83"/>
  <c r="K311" i="83" s="1"/>
  <c r="J310" i="83"/>
  <c r="J437" i="83"/>
  <c r="J436" i="83"/>
  <c r="J435" i="83"/>
  <c r="J514" i="83"/>
  <c r="J480" i="83"/>
  <c r="K480" i="83" s="1"/>
  <c r="J479" i="83"/>
  <c r="J478" i="83"/>
  <c r="J477" i="83"/>
  <c r="J476" i="83"/>
  <c r="K476" i="83" s="1"/>
  <c r="J475" i="83"/>
  <c r="H522" i="83"/>
  <c r="K522" i="83"/>
  <c r="L522" i="83" s="1"/>
  <c r="H590" i="83"/>
  <c r="K590" i="83"/>
  <c r="L590" i="83" s="1"/>
  <c r="H602" i="83"/>
  <c r="K602" i="83"/>
  <c r="L602" i="83" s="1"/>
  <c r="K625" i="83"/>
  <c r="L625" i="83" s="1"/>
  <c r="H660" i="83"/>
  <c r="K660" i="83"/>
  <c r="L660" i="83" s="1"/>
  <c r="J709" i="83"/>
  <c r="J708" i="83"/>
  <c r="K708" i="83" s="1"/>
  <c r="J707" i="83"/>
  <c r="H710" i="83"/>
  <c r="K710" i="83"/>
  <c r="L710" i="83" s="1"/>
  <c r="K724" i="83"/>
  <c r="L724" i="83" s="1"/>
  <c r="H722" i="83"/>
  <c r="H2" i="83"/>
  <c r="J5" i="83"/>
  <c r="M8" i="83"/>
  <c r="J15" i="83"/>
  <c r="J16" i="83"/>
  <c r="J25" i="83"/>
  <c r="J26" i="83"/>
  <c r="K26" i="83" s="1"/>
  <c r="J27" i="83"/>
  <c r="K88" i="83"/>
  <c r="L88" i="83" s="1"/>
  <c r="K90" i="83"/>
  <c r="L90" i="83" s="1"/>
  <c r="J116" i="83"/>
  <c r="J100" i="83"/>
  <c r="J99" i="83"/>
  <c r="J98" i="83"/>
  <c r="J97" i="83"/>
  <c r="M96" i="83" s="1"/>
  <c r="K102" i="83"/>
  <c r="L102" i="83" s="1"/>
  <c r="K107" i="83"/>
  <c r="L107" i="83" s="1"/>
  <c r="L128" i="83"/>
  <c r="K109" i="83"/>
  <c r="L109" i="83"/>
  <c r="K122" i="83"/>
  <c r="L122" i="83" s="1"/>
  <c r="J156" i="83"/>
  <c r="M126" i="83"/>
  <c r="H130" i="83"/>
  <c r="K132" i="83"/>
  <c r="L132" i="83"/>
  <c r="K134" i="83"/>
  <c r="L134" i="83" s="1"/>
  <c r="L137" i="83"/>
  <c r="K223" i="83"/>
  <c r="L223" i="83" s="1"/>
  <c r="K229" i="83"/>
  <c r="L229" i="83" s="1"/>
  <c r="H256" i="83"/>
  <c r="K259" i="83"/>
  <c r="L259" i="83" s="1"/>
  <c r="K262" i="83"/>
  <c r="L262" i="83" s="1"/>
  <c r="H304" i="83"/>
  <c r="K309" i="83"/>
  <c r="L309" i="83" s="1"/>
  <c r="K314" i="83"/>
  <c r="L314" i="83" s="1"/>
  <c r="H360" i="83"/>
  <c r="K370" i="83"/>
  <c r="L370" i="83" s="1"/>
  <c r="H382" i="83"/>
  <c r="K394" i="83"/>
  <c r="L394" i="83" s="1"/>
  <c r="H406" i="83"/>
  <c r="K418" i="83"/>
  <c r="L418" i="83" s="1"/>
  <c r="H430" i="83"/>
  <c r="K434" i="83"/>
  <c r="L434" i="83" s="1"/>
  <c r="K438" i="83"/>
  <c r="L438" i="83" s="1"/>
  <c r="J444" i="83"/>
  <c r="J443" i="83"/>
  <c r="H446" i="83"/>
  <c r="K458" i="83"/>
  <c r="L458" i="83" s="1"/>
  <c r="J462" i="83"/>
  <c r="H466" i="83"/>
  <c r="K474" i="83"/>
  <c r="L474" i="83" s="1"/>
  <c r="K482" i="83"/>
  <c r="L482" i="83" s="1"/>
  <c r="H538" i="83"/>
  <c r="K538" i="83"/>
  <c r="L538" i="83" s="1"/>
  <c r="H546" i="83"/>
  <c r="K546" i="83"/>
  <c r="L546" i="83" s="1"/>
  <c r="H562" i="83"/>
  <c r="L601" i="83"/>
  <c r="M622" i="83"/>
  <c r="H626" i="83"/>
  <c r="H676" i="83"/>
  <c r="K676" i="83"/>
  <c r="L676" i="83" s="1"/>
  <c r="K764" i="83"/>
  <c r="L764" i="83" s="1"/>
  <c r="H762" i="83"/>
  <c r="K771" i="83"/>
  <c r="L771" i="83" s="1"/>
  <c r="H770" i="83"/>
  <c r="K804" i="83"/>
  <c r="L804" i="83" s="1"/>
  <c r="H802" i="83"/>
  <c r="J541" i="83"/>
  <c r="M540" i="83" s="1"/>
  <c r="H542" i="83"/>
  <c r="K544" i="83"/>
  <c r="L544" i="83" s="1"/>
  <c r="K577" i="83"/>
  <c r="L577" i="83" s="1"/>
  <c r="L622" i="83"/>
  <c r="K624" i="83"/>
  <c r="L624" i="83" s="1"/>
  <c r="J630" i="83"/>
  <c r="H632" i="83"/>
  <c r="J666" i="83"/>
  <c r="J665" i="83"/>
  <c r="H668" i="83"/>
  <c r="K672" i="83"/>
  <c r="L672" i="83" s="1"/>
  <c r="H694" i="83"/>
  <c r="K694" i="83"/>
  <c r="L694" i="83" s="1"/>
  <c r="K709" i="83"/>
  <c r="L679" i="83"/>
  <c r="K681" i="83"/>
  <c r="L681" i="83" s="1"/>
  <c r="J738" i="83"/>
  <c r="J701" i="83"/>
  <c r="J700" i="83"/>
  <c r="J699" i="83"/>
  <c r="H702" i="83"/>
  <c r="K706" i="83"/>
  <c r="L706" i="83" s="1"/>
  <c r="K733" i="83"/>
  <c r="L733" i="83" s="1"/>
  <c r="K753" i="83"/>
  <c r="L753" i="83" s="1"/>
  <c r="K813" i="83"/>
  <c r="L813" i="83" s="1"/>
  <c r="J139" i="83" l="1"/>
  <c r="K139" i="83" s="1"/>
  <c r="L139" i="83" s="1"/>
  <c r="L68" i="83"/>
  <c r="M66" i="83"/>
  <c r="K67" i="83"/>
  <c r="L67" i="83" s="1"/>
  <c r="K699" i="83"/>
  <c r="L699" i="83" s="1"/>
  <c r="K701" i="83"/>
  <c r="L701" i="83" s="1"/>
  <c r="J674" i="83"/>
  <c r="L666" i="83"/>
  <c r="K666" i="83"/>
  <c r="L630" i="83"/>
  <c r="K630" i="83"/>
  <c r="J464" i="83"/>
  <c r="J463" i="83"/>
  <c r="L444" i="83"/>
  <c r="K444" i="83"/>
  <c r="J176" i="83"/>
  <c r="J158" i="83"/>
  <c r="J159" i="83"/>
  <c r="J157" i="83"/>
  <c r="L98" i="83"/>
  <c r="K98" i="83"/>
  <c r="L100" i="83"/>
  <c r="K100" i="83"/>
  <c r="L27" i="83"/>
  <c r="M14" i="83"/>
  <c r="L5" i="83"/>
  <c r="L709" i="83"/>
  <c r="J481" i="83"/>
  <c r="K462" i="83"/>
  <c r="L462" i="83" s="1"/>
  <c r="L435" i="83"/>
  <c r="J321" i="83"/>
  <c r="J365" i="83"/>
  <c r="J322" i="83"/>
  <c r="J320" i="83"/>
  <c r="L260" i="83"/>
  <c r="J266" i="83"/>
  <c r="M228" i="83"/>
  <c r="L2" i="83"/>
  <c r="K479" i="83"/>
  <c r="L479" i="83" s="1"/>
  <c r="K475" i="83"/>
  <c r="L475" i="83" s="1"/>
  <c r="K437" i="83"/>
  <c r="L437" i="83" s="1"/>
  <c r="K312" i="83"/>
  <c r="L312" i="83" s="1"/>
  <c r="K265" i="83"/>
  <c r="L265" i="83" s="1"/>
  <c r="K319" i="83"/>
  <c r="L319" i="83" s="1"/>
  <c r="K156" i="83"/>
  <c r="L156" i="83" s="1"/>
  <c r="J211" i="83"/>
  <c r="L199" i="83"/>
  <c r="K27" i="83"/>
  <c r="K16" i="83"/>
  <c r="L16" i="83" s="1"/>
  <c r="M698" i="83"/>
  <c r="L700" i="83"/>
  <c r="K700" i="83"/>
  <c r="J758" i="83"/>
  <c r="J741" i="83"/>
  <c r="J739" i="83"/>
  <c r="M738" i="83" s="1"/>
  <c r="J740" i="83"/>
  <c r="K738" i="83"/>
  <c r="L738" i="83" s="1"/>
  <c r="K707" i="83"/>
  <c r="L707" i="83" s="1"/>
  <c r="J673" i="83"/>
  <c r="K665" i="83"/>
  <c r="L665" i="83" s="1"/>
  <c r="J667" i="83"/>
  <c r="M629" i="83"/>
  <c r="J631" i="83"/>
  <c r="J545" i="83"/>
  <c r="K541" i="83"/>
  <c r="L541" i="83" s="1"/>
  <c r="K443" i="83"/>
  <c r="L443" i="83" s="1"/>
  <c r="J445" i="83"/>
  <c r="K231" i="83"/>
  <c r="L231" i="83" s="1"/>
  <c r="K97" i="83"/>
  <c r="L97" i="83" s="1"/>
  <c r="K99" i="83"/>
  <c r="L99" i="83" s="1"/>
  <c r="J146" i="83"/>
  <c r="J119" i="83"/>
  <c r="J117" i="83"/>
  <c r="J120" i="83"/>
  <c r="J118" i="83"/>
  <c r="K116" i="83"/>
  <c r="L116" i="83" s="1"/>
  <c r="L26" i="83"/>
  <c r="M24" i="83"/>
  <c r="M4" i="83"/>
  <c r="M706" i="83"/>
  <c r="L708" i="83"/>
  <c r="L476" i="83"/>
  <c r="L480" i="83"/>
  <c r="J530" i="83"/>
  <c r="J519" i="83"/>
  <c r="J517" i="83"/>
  <c r="J515" i="83"/>
  <c r="J520" i="83"/>
  <c r="J518" i="83"/>
  <c r="J516" i="83"/>
  <c r="K514" i="83"/>
  <c r="L514" i="83" s="1"/>
  <c r="M434" i="83"/>
  <c r="L311" i="83"/>
  <c r="J313" i="83"/>
  <c r="M259" i="83"/>
  <c r="J261" i="83"/>
  <c r="K477" i="83"/>
  <c r="L477" i="83" s="1"/>
  <c r="K435" i="83"/>
  <c r="K310" i="83"/>
  <c r="L310" i="83" s="1"/>
  <c r="K260" i="83"/>
  <c r="K133" i="83"/>
  <c r="L133" i="83" s="1"/>
  <c r="K15" i="83"/>
  <c r="L15" i="83" s="1"/>
  <c r="K478" i="83"/>
  <c r="L478" i="83" s="1"/>
  <c r="K436" i="83"/>
  <c r="L436" i="83" s="1"/>
  <c r="K25" i="83"/>
  <c r="L25" i="83" s="1"/>
  <c r="K5" i="83"/>
  <c r="M137" i="83" l="1"/>
  <c r="K518" i="83"/>
  <c r="L518" i="83" s="1"/>
  <c r="M514" i="83"/>
  <c r="L517" i="83"/>
  <c r="K517" i="83"/>
  <c r="J536" i="83"/>
  <c r="J535" i="83"/>
  <c r="J534" i="83"/>
  <c r="J533" i="83"/>
  <c r="J532" i="83"/>
  <c r="J531" i="83"/>
  <c r="M530" i="83"/>
  <c r="J554" i="83"/>
  <c r="L530" i="83"/>
  <c r="K530" i="83"/>
  <c r="K120" i="83"/>
  <c r="L120" i="83" s="1"/>
  <c r="K117" i="83"/>
  <c r="L117" i="83" s="1"/>
  <c r="K545" i="83"/>
  <c r="L545" i="83" s="1"/>
  <c r="M544" i="83"/>
  <c r="L673" i="83"/>
  <c r="K673" i="83"/>
  <c r="M672" i="83"/>
  <c r="K741" i="83"/>
  <c r="L741" i="83" s="1"/>
  <c r="J766" i="83"/>
  <c r="J761" i="83"/>
  <c r="J759" i="83"/>
  <c r="J760" i="83"/>
  <c r="K758" i="83"/>
  <c r="L758" i="83" s="1"/>
  <c r="K266" i="83"/>
  <c r="L266" i="83" s="1"/>
  <c r="K320" i="83"/>
  <c r="L320" i="83" s="1"/>
  <c r="J368" i="83"/>
  <c r="J367" i="83"/>
  <c r="J366" i="83"/>
  <c r="K365" i="83"/>
  <c r="L365" i="83" s="1"/>
  <c r="K481" i="83"/>
  <c r="L481" i="83" s="1"/>
  <c r="K157" i="83"/>
  <c r="L157" i="83" s="1"/>
  <c r="K158" i="83"/>
  <c r="L158" i="83" s="1"/>
  <c r="J184" i="83"/>
  <c r="J179" i="83"/>
  <c r="J177" i="83"/>
  <c r="K176" i="83"/>
  <c r="L176" i="83" s="1"/>
  <c r="K464" i="83"/>
  <c r="L464" i="83" s="1"/>
  <c r="J267" i="83"/>
  <c r="K261" i="83"/>
  <c r="L261" i="83" s="1"/>
  <c r="J323" i="83"/>
  <c r="M319" i="83" s="1"/>
  <c r="K313" i="83"/>
  <c r="L313" i="83" s="1"/>
  <c r="M309" i="83"/>
  <c r="K516" i="83"/>
  <c r="L516" i="83" s="1"/>
  <c r="K520" i="83"/>
  <c r="L520" i="83" s="1"/>
  <c r="K515" i="83"/>
  <c r="L515" i="83" s="1"/>
  <c r="K519" i="83"/>
  <c r="L519" i="83" s="1"/>
  <c r="M474" i="83"/>
  <c r="L118" i="83"/>
  <c r="K118" i="83"/>
  <c r="M116" i="83"/>
  <c r="K119" i="83"/>
  <c r="L119" i="83" s="1"/>
  <c r="J166" i="83"/>
  <c r="J149" i="83"/>
  <c r="J147" i="83"/>
  <c r="J150" i="83"/>
  <c r="J148" i="83"/>
  <c r="K146" i="83"/>
  <c r="L146" i="83" s="1"/>
  <c r="J465" i="83"/>
  <c r="K445" i="83"/>
  <c r="L445" i="83" s="1"/>
  <c r="M442" i="83"/>
  <c r="K631" i="83"/>
  <c r="L631" i="83" s="1"/>
  <c r="J675" i="83"/>
  <c r="L667" i="83"/>
  <c r="K667" i="83"/>
  <c r="M664" i="83"/>
  <c r="K740" i="83"/>
  <c r="L740" i="83" s="1"/>
  <c r="K739" i="83"/>
  <c r="L739" i="83" s="1"/>
  <c r="J243" i="83"/>
  <c r="L211" i="83"/>
  <c r="K211" i="83"/>
  <c r="M265" i="83"/>
  <c r="K322" i="83"/>
  <c r="L322" i="83" s="1"/>
  <c r="K321" i="83"/>
  <c r="L321" i="83" s="1"/>
  <c r="M156" i="83"/>
  <c r="K159" i="83"/>
  <c r="L159" i="83" s="1"/>
  <c r="K463" i="83"/>
  <c r="L463" i="83" s="1"/>
  <c r="K674" i="83"/>
  <c r="L674" i="83" s="1"/>
  <c r="K150" i="83" l="1"/>
  <c r="L150" i="83" s="1"/>
  <c r="K147" i="83"/>
  <c r="L147" i="83" s="1"/>
  <c r="J369" i="83"/>
  <c r="L323" i="83"/>
  <c r="K323" i="83"/>
  <c r="J178" i="83"/>
  <c r="M176" i="83" s="1"/>
  <c r="K177" i="83"/>
  <c r="L177" i="83" s="1"/>
  <c r="K367" i="83"/>
  <c r="L367" i="83" s="1"/>
  <c r="K760" i="83"/>
  <c r="L760" i="83" s="1"/>
  <c r="K759" i="83"/>
  <c r="L759" i="83" s="1"/>
  <c r="K532" i="83"/>
  <c r="L532" i="83" s="1"/>
  <c r="K534" i="83"/>
  <c r="L534" i="83" s="1"/>
  <c r="K536" i="83"/>
  <c r="L536" i="83" s="1"/>
  <c r="J255" i="83"/>
  <c r="K243" i="83"/>
  <c r="L243" i="83" s="1"/>
  <c r="K675" i="83"/>
  <c r="L675" i="83" s="1"/>
  <c r="K465" i="83"/>
  <c r="L465" i="83" s="1"/>
  <c r="M462" i="83"/>
  <c r="L148" i="83"/>
  <c r="K148" i="83"/>
  <c r="M146" i="83"/>
  <c r="K149" i="83"/>
  <c r="L149" i="83" s="1"/>
  <c r="J194" i="83"/>
  <c r="J169" i="83"/>
  <c r="J167" i="83"/>
  <c r="J170" i="83"/>
  <c r="J168" i="83"/>
  <c r="K166" i="83"/>
  <c r="L166" i="83" s="1"/>
  <c r="K267" i="83"/>
  <c r="L267" i="83" s="1"/>
  <c r="K179" i="83"/>
  <c r="L179" i="83" s="1"/>
  <c r="J216" i="83"/>
  <c r="J187" i="83"/>
  <c r="J185" i="83"/>
  <c r="J186" i="83"/>
  <c r="K184" i="83"/>
  <c r="L184" i="83" s="1"/>
  <c r="K366" i="83"/>
  <c r="L366" i="83" s="1"/>
  <c r="K368" i="83"/>
  <c r="L368" i="83" s="1"/>
  <c r="M758" i="83"/>
  <c r="K761" i="83"/>
  <c r="L761" i="83" s="1"/>
  <c r="J786" i="83"/>
  <c r="L766" i="83"/>
  <c r="J768" i="83"/>
  <c r="J769" i="83"/>
  <c r="J767" i="83"/>
  <c r="M766" i="83"/>
  <c r="K766" i="83"/>
  <c r="J570" i="83"/>
  <c r="J560" i="83"/>
  <c r="J559" i="83"/>
  <c r="J558" i="83"/>
  <c r="J557" i="83"/>
  <c r="J556" i="83"/>
  <c r="J555" i="83"/>
  <c r="K554" i="83"/>
  <c r="L554" i="83" s="1"/>
  <c r="K531" i="83"/>
  <c r="L531" i="83" s="1"/>
  <c r="K533" i="83"/>
  <c r="L533" i="83" s="1"/>
  <c r="K535" i="83"/>
  <c r="L535" i="83" s="1"/>
  <c r="K555" i="83" l="1"/>
  <c r="L555" i="83" s="1"/>
  <c r="K557" i="83"/>
  <c r="L557" i="83" s="1"/>
  <c r="K559" i="83"/>
  <c r="L559" i="83" s="1"/>
  <c r="J610" i="83"/>
  <c r="J576" i="83"/>
  <c r="J574" i="83"/>
  <c r="J572" i="83"/>
  <c r="J575" i="83"/>
  <c r="J573" i="83"/>
  <c r="J571" i="83"/>
  <c r="K570" i="83"/>
  <c r="L570" i="83" s="1"/>
  <c r="K769" i="83"/>
  <c r="L769" i="83" s="1"/>
  <c r="K186" i="83"/>
  <c r="L186" i="83" s="1"/>
  <c r="K185" i="83"/>
  <c r="L185" i="83" s="1"/>
  <c r="K170" i="83"/>
  <c r="L170" i="83" s="1"/>
  <c r="K167" i="83"/>
  <c r="L167" i="83" s="1"/>
  <c r="J279" i="83"/>
  <c r="K255" i="83"/>
  <c r="L255" i="83" s="1"/>
  <c r="K178" i="83"/>
  <c r="L178" i="83" s="1"/>
  <c r="M554" i="83"/>
  <c r="K556" i="83"/>
  <c r="L556" i="83" s="1"/>
  <c r="K558" i="83"/>
  <c r="L558" i="83" s="1"/>
  <c r="K560" i="83"/>
  <c r="L560" i="83" s="1"/>
  <c r="K767" i="83"/>
  <c r="L767" i="83" s="1"/>
  <c r="K768" i="83"/>
  <c r="L768" i="83" s="1"/>
  <c r="J818" i="83"/>
  <c r="L786" i="83"/>
  <c r="J788" i="83"/>
  <c r="J789" i="83"/>
  <c r="J787" i="83"/>
  <c r="M786" i="83"/>
  <c r="K786" i="83"/>
  <c r="M184" i="83"/>
  <c r="K187" i="83"/>
  <c r="L187" i="83" s="1"/>
  <c r="J218" i="83"/>
  <c r="J219" i="83"/>
  <c r="J217" i="83"/>
  <c r="K216" i="83"/>
  <c r="L216" i="83" s="1"/>
  <c r="K168" i="83"/>
  <c r="L168" i="83" s="1"/>
  <c r="M166" i="83"/>
  <c r="L169" i="83"/>
  <c r="K169" i="83"/>
  <c r="J206" i="83"/>
  <c r="J198" i="83"/>
  <c r="J196" i="83"/>
  <c r="J197" i="83"/>
  <c r="J195" i="83"/>
  <c r="M194" i="83" s="1"/>
  <c r="K194" i="83"/>
  <c r="L194" i="83" s="1"/>
  <c r="K369" i="83"/>
  <c r="L369" i="83" s="1"/>
  <c r="M365" i="83"/>
  <c r="K197" i="83" l="1"/>
  <c r="L197" i="83" s="1"/>
  <c r="K198" i="83"/>
  <c r="L198" i="83" s="1"/>
  <c r="J238" i="83"/>
  <c r="J209" i="83"/>
  <c r="J207" i="83"/>
  <c r="J210" i="83"/>
  <c r="J208" i="83"/>
  <c r="K206" i="83"/>
  <c r="L206" i="83" s="1"/>
  <c r="K217" i="83"/>
  <c r="L217" i="83" s="1"/>
  <c r="K218" i="83"/>
  <c r="L218" i="83" s="1"/>
  <c r="K789" i="83"/>
  <c r="L789" i="83" s="1"/>
  <c r="J291" i="83"/>
  <c r="K279" i="83"/>
  <c r="L279" i="83" s="1"/>
  <c r="K571" i="83"/>
  <c r="L571" i="83" s="1"/>
  <c r="K575" i="83"/>
  <c r="L575" i="83" s="1"/>
  <c r="K574" i="83"/>
  <c r="L574" i="83" s="1"/>
  <c r="J652" i="83"/>
  <c r="J616" i="83"/>
  <c r="J615" i="83"/>
  <c r="J614" i="83"/>
  <c r="J613" i="83"/>
  <c r="J612" i="83"/>
  <c r="J611" i="83"/>
  <c r="L610" i="83"/>
  <c r="K610" i="83"/>
  <c r="L195" i="83"/>
  <c r="K195" i="83"/>
  <c r="L196" i="83"/>
  <c r="K196" i="83"/>
  <c r="M216" i="83"/>
  <c r="K219" i="83"/>
  <c r="L219" i="83" s="1"/>
  <c r="K787" i="83"/>
  <c r="L787" i="83" s="1"/>
  <c r="K788" i="83"/>
  <c r="L788" i="83" s="1"/>
  <c r="J826" i="83"/>
  <c r="J821" i="83"/>
  <c r="J819" i="83"/>
  <c r="J820" i="83"/>
  <c r="K818" i="83"/>
  <c r="L818" i="83" s="1"/>
  <c r="M570" i="83"/>
  <c r="K573" i="83"/>
  <c r="L573" i="83" s="1"/>
  <c r="K572" i="83"/>
  <c r="L572" i="83" s="1"/>
  <c r="K576" i="83"/>
  <c r="L576" i="83" s="1"/>
  <c r="J828" i="83" l="1"/>
  <c r="L820" i="83"/>
  <c r="K820" i="83"/>
  <c r="J827" i="83"/>
  <c r="K819" i="83"/>
  <c r="L819" i="83" s="1"/>
  <c r="K611" i="83"/>
  <c r="L611" i="83" s="1"/>
  <c r="K613" i="83"/>
  <c r="L613" i="83" s="1"/>
  <c r="K615" i="83"/>
  <c r="L615" i="83" s="1"/>
  <c r="J657" i="83"/>
  <c r="J655" i="83"/>
  <c r="J653" i="83"/>
  <c r="J658" i="83"/>
  <c r="J656" i="83"/>
  <c r="J654" i="83"/>
  <c r="K652" i="83"/>
  <c r="L652" i="83" s="1"/>
  <c r="L210" i="83"/>
  <c r="K210" i="83"/>
  <c r="L207" i="83"/>
  <c r="K207" i="83"/>
  <c r="M818" i="83"/>
  <c r="J829" i="83"/>
  <c r="L821" i="83"/>
  <c r="K821" i="83"/>
  <c r="K826" i="83"/>
  <c r="L826" i="83" s="1"/>
  <c r="M610" i="83"/>
  <c r="K612" i="83"/>
  <c r="L612" i="83" s="1"/>
  <c r="K614" i="83"/>
  <c r="L614" i="83" s="1"/>
  <c r="K616" i="83"/>
  <c r="L616" i="83" s="1"/>
  <c r="J303" i="83"/>
  <c r="L291" i="83"/>
  <c r="K291" i="83"/>
  <c r="L208" i="83"/>
  <c r="K208" i="83"/>
  <c r="M206" i="83"/>
  <c r="K209" i="83"/>
  <c r="L209" i="83" s="1"/>
  <c r="J250" i="83"/>
  <c r="J241" i="83"/>
  <c r="J239" i="83"/>
  <c r="J242" i="83"/>
  <c r="J240" i="83"/>
  <c r="K238" i="83"/>
  <c r="L238" i="83" s="1"/>
  <c r="K242" i="83" l="1"/>
  <c r="L242" i="83" s="1"/>
  <c r="K239" i="83"/>
  <c r="L239" i="83" s="1"/>
  <c r="K654" i="83"/>
  <c r="L654" i="83" s="1"/>
  <c r="K658" i="83"/>
  <c r="L658" i="83" s="1"/>
  <c r="K653" i="83"/>
  <c r="L653" i="83" s="1"/>
  <c r="K657" i="83"/>
  <c r="L657" i="83" s="1"/>
  <c r="K827" i="83"/>
  <c r="L827" i="83" s="1"/>
  <c r="K240" i="83"/>
  <c r="L240" i="83" s="1"/>
  <c r="M238" i="83"/>
  <c r="L241" i="83"/>
  <c r="K241" i="83"/>
  <c r="J274" i="83"/>
  <c r="J254" i="83"/>
  <c r="J252" i="83"/>
  <c r="J253" i="83"/>
  <c r="J251" i="83"/>
  <c r="M250" i="83" s="1"/>
  <c r="K250" i="83"/>
  <c r="L250" i="83" s="1"/>
  <c r="J335" i="83"/>
  <c r="K303" i="83"/>
  <c r="L303" i="83" s="1"/>
  <c r="M826" i="83"/>
  <c r="L829" i="83"/>
  <c r="K829" i="83"/>
  <c r="L656" i="83"/>
  <c r="K656" i="83"/>
  <c r="M652" i="83"/>
  <c r="K655" i="83"/>
  <c r="L655" i="83" s="1"/>
  <c r="K828" i="83"/>
  <c r="L828" i="83" s="1"/>
  <c r="K253" i="83" l="1"/>
  <c r="L253" i="83" s="1"/>
  <c r="K254" i="83"/>
  <c r="L254" i="83" s="1"/>
  <c r="J286" i="83"/>
  <c r="J278" i="83"/>
  <c r="J276" i="83"/>
  <c r="J277" i="83"/>
  <c r="J275" i="83"/>
  <c r="K274" i="83"/>
  <c r="L274" i="83" s="1"/>
  <c r="J347" i="83"/>
  <c r="L335" i="83"/>
  <c r="K335" i="83"/>
  <c r="L251" i="83"/>
  <c r="K251" i="83"/>
  <c r="L252" i="83"/>
  <c r="K252" i="83"/>
  <c r="K275" i="83" l="1"/>
  <c r="L275" i="83" s="1"/>
  <c r="K276" i="83"/>
  <c r="L276" i="83" s="1"/>
  <c r="J359" i="83"/>
  <c r="L347" i="83"/>
  <c r="K347" i="83"/>
  <c r="M274" i="83"/>
  <c r="K277" i="83"/>
  <c r="L277" i="83" s="1"/>
  <c r="K278" i="83"/>
  <c r="L278" i="83" s="1"/>
  <c r="J298" i="83"/>
  <c r="J289" i="83"/>
  <c r="J287" i="83"/>
  <c r="J290" i="83"/>
  <c r="J288" i="83"/>
  <c r="K286" i="83"/>
  <c r="L286" i="83" s="1"/>
  <c r="K290" i="83" l="1"/>
  <c r="L290" i="83" s="1"/>
  <c r="K287" i="83"/>
  <c r="L287" i="83" s="1"/>
  <c r="K288" i="83"/>
  <c r="L288" i="83" s="1"/>
  <c r="M286" i="83"/>
  <c r="K289" i="83"/>
  <c r="L289" i="83" s="1"/>
  <c r="J330" i="83"/>
  <c r="J302" i="83"/>
  <c r="J300" i="83"/>
  <c r="J301" i="83"/>
  <c r="J299" i="83"/>
  <c r="M298" i="83"/>
  <c r="K298" i="83"/>
  <c r="L298" i="83" s="1"/>
  <c r="J381" i="83"/>
  <c r="K359" i="83"/>
  <c r="L359" i="83" s="1"/>
  <c r="J393" i="83" l="1"/>
  <c r="L381" i="83"/>
  <c r="K381" i="83"/>
  <c r="L301" i="83"/>
  <c r="K301" i="83"/>
  <c r="L302" i="83"/>
  <c r="K302" i="83"/>
  <c r="J342" i="83"/>
  <c r="J334" i="83"/>
  <c r="J332" i="83"/>
  <c r="J333" i="83"/>
  <c r="J331" i="83"/>
  <c r="M330" i="83" s="1"/>
  <c r="K330" i="83"/>
  <c r="L330" i="83" s="1"/>
  <c r="K299" i="83"/>
  <c r="L299" i="83" s="1"/>
  <c r="K300" i="83"/>
  <c r="L300" i="83" s="1"/>
  <c r="K333" i="83" l="1"/>
  <c r="L333" i="83" s="1"/>
  <c r="K334" i="83"/>
  <c r="L334" i="83" s="1"/>
  <c r="J354" i="83"/>
  <c r="J345" i="83"/>
  <c r="J343" i="83"/>
  <c r="J346" i="83"/>
  <c r="J344" i="83"/>
  <c r="K342" i="83"/>
  <c r="L342" i="83" s="1"/>
  <c r="K331" i="83"/>
  <c r="L331" i="83" s="1"/>
  <c r="K332" i="83"/>
  <c r="L332" i="83" s="1"/>
  <c r="J405" i="83"/>
  <c r="L393" i="83"/>
  <c r="K393" i="83"/>
  <c r="K346" i="83" l="1"/>
  <c r="L346" i="83" s="1"/>
  <c r="K343" i="83"/>
  <c r="L343" i="83" s="1"/>
  <c r="J417" i="83"/>
  <c r="L405" i="83"/>
  <c r="K405" i="83"/>
  <c r="L344" i="83"/>
  <c r="K344" i="83"/>
  <c r="M342" i="83"/>
  <c r="K345" i="83"/>
  <c r="L345" i="83" s="1"/>
  <c r="J376" i="83"/>
  <c r="J358" i="83"/>
  <c r="J356" i="83"/>
  <c r="J357" i="83"/>
  <c r="J355" i="83"/>
  <c r="K354" i="83"/>
  <c r="L354" i="83" s="1"/>
  <c r="K355" i="83" l="1"/>
  <c r="L355" i="83" s="1"/>
  <c r="K356" i="83"/>
  <c r="L356" i="83" s="1"/>
  <c r="J380" i="83"/>
  <c r="J379" i="83"/>
  <c r="J378" i="83"/>
  <c r="J377" i="83"/>
  <c r="J388" i="83"/>
  <c r="K376" i="83"/>
  <c r="L376" i="83" s="1"/>
  <c r="M354" i="83"/>
  <c r="L357" i="83"/>
  <c r="K357" i="83"/>
  <c r="L358" i="83"/>
  <c r="K358" i="83"/>
  <c r="J429" i="83"/>
  <c r="K417" i="83"/>
  <c r="L417" i="83" s="1"/>
  <c r="J457" i="83" l="1"/>
  <c r="L429" i="83"/>
  <c r="K429" i="83"/>
  <c r="J392" i="83"/>
  <c r="J391" i="83"/>
  <c r="J390" i="83"/>
  <c r="J389" i="83"/>
  <c r="M388" i="83"/>
  <c r="J400" i="83"/>
  <c r="L388" i="83"/>
  <c r="K388" i="83"/>
  <c r="L377" i="83"/>
  <c r="K377" i="83"/>
  <c r="L379" i="83"/>
  <c r="K379" i="83"/>
  <c r="M376" i="83"/>
  <c r="K378" i="83"/>
  <c r="L378" i="83" s="1"/>
  <c r="K380" i="83"/>
  <c r="L380" i="83" s="1"/>
  <c r="K390" i="83" l="1"/>
  <c r="L390" i="83" s="1"/>
  <c r="K392" i="83"/>
  <c r="L392" i="83" s="1"/>
  <c r="J404" i="83"/>
  <c r="J403" i="83"/>
  <c r="J402" i="83"/>
  <c r="J401" i="83"/>
  <c r="J412" i="83"/>
  <c r="K400" i="83"/>
  <c r="L400" i="83" s="1"/>
  <c r="K389" i="83"/>
  <c r="L389" i="83" s="1"/>
  <c r="K391" i="83"/>
  <c r="L391" i="83" s="1"/>
  <c r="J493" i="83"/>
  <c r="L457" i="83"/>
  <c r="K457" i="83"/>
  <c r="J416" i="83" l="1"/>
  <c r="J415" i="83"/>
  <c r="J414" i="83"/>
  <c r="J413" i="83"/>
  <c r="J424" i="83"/>
  <c r="K412" i="83"/>
  <c r="L412" i="83" s="1"/>
  <c r="K401" i="83"/>
  <c r="L401" i="83" s="1"/>
  <c r="K403" i="83"/>
  <c r="L403" i="83" s="1"/>
  <c r="J505" i="83"/>
  <c r="K493" i="83"/>
  <c r="L493" i="83" s="1"/>
  <c r="M400" i="83"/>
  <c r="K402" i="83"/>
  <c r="L402" i="83" s="1"/>
  <c r="K404" i="83"/>
  <c r="L404" i="83" s="1"/>
  <c r="S97" i="77"/>
  <c r="AL13" i="3"/>
  <c r="F86" i="77"/>
  <c r="C88" i="77"/>
  <c r="U69" i="77"/>
  <c r="U70" i="77"/>
  <c r="U71" i="77"/>
  <c r="U72" i="77"/>
  <c r="U73" i="77"/>
  <c r="U74" i="77"/>
  <c r="U75" i="77"/>
  <c r="U76" i="77"/>
  <c r="U77" i="77"/>
  <c r="U78" i="77"/>
  <c r="U79" i="77"/>
  <c r="U80" i="77"/>
  <c r="U81" i="77"/>
  <c r="U82" i="77"/>
  <c r="U83" i="77"/>
  <c r="U84" i="77"/>
  <c r="U85" i="77"/>
  <c r="U66" i="77"/>
  <c r="U67" i="77"/>
  <c r="U68" i="77"/>
  <c r="U63" i="77"/>
  <c r="U64" i="77"/>
  <c r="U65" i="77"/>
  <c r="U54" i="77"/>
  <c r="U55" i="77"/>
  <c r="U56" i="77"/>
  <c r="U57" i="77"/>
  <c r="U58" i="77"/>
  <c r="U59" i="77"/>
  <c r="U60" i="77"/>
  <c r="U61" i="77"/>
  <c r="U62" i="77"/>
  <c r="U53" i="77"/>
  <c r="U52" i="77"/>
  <c r="U51" i="77"/>
  <c r="U49" i="77"/>
  <c r="U50" i="77"/>
  <c r="U45" i="77"/>
  <c r="U46" i="77"/>
  <c r="U47" i="77"/>
  <c r="U48" i="77"/>
  <c r="U42" i="77"/>
  <c r="U43" i="77"/>
  <c r="U44" i="77"/>
  <c r="U40" i="77"/>
  <c r="U41" i="77"/>
  <c r="U38" i="77"/>
  <c r="U39" i="77"/>
  <c r="U37" i="77"/>
  <c r="U36" i="77"/>
  <c r="U34" i="77"/>
  <c r="U35" i="77"/>
  <c r="U32" i="77"/>
  <c r="U33" i="77"/>
  <c r="U31" i="77"/>
  <c r="U30" i="77"/>
  <c r="U29" i="77"/>
  <c r="U28" i="77"/>
  <c r="U27" i="77"/>
  <c r="U26" i="77"/>
  <c r="U25" i="77"/>
  <c r="U24" i="77"/>
  <c r="U23" i="77"/>
  <c r="U22" i="77"/>
  <c r="U21" i="77"/>
  <c r="U20" i="77"/>
  <c r="U19" i="77"/>
  <c r="U18" i="77"/>
  <c r="U17" i="77"/>
  <c r="U16" i="77"/>
  <c r="U15" i="77"/>
  <c r="U14" i="77"/>
  <c r="U13" i="77"/>
  <c r="U12" i="77"/>
  <c r="U11" i="77"/>
  <c r="U10" i="77"/>
  <c r="U9" i="77"/>
  <c r="U8" i="77"/>
  <c r="U7" i="77"/>
  <c r="U6" i="77"/>
  <c r="U5" i="77"/>
  <c r="U4" i="77"/>
  <c r="U3" i="77"/>
  <c r="U87" i="77" s="1"/>
  <c r="U97" i="77" s="1"/>
  <c r="U94" i="77" l="1"/>
  <c r="S13" i="3"/>
  <c r="J428" i="83"/>
  <c r="J427" i="83"/>
  <c r="J426" i="83"/>
  <c r="J425" i="83"/>
  <c r="J452" i="83"/>
  <c r="K424" i="83"/>
  <c r="L424" i="83" s="1"/>
  <c r="K413" i="83"/>
  <c r="L413" i="83" s="1"/>
  <c r="K415" i="83"/>
  <c r="L415" i="83" s="1"/>
  <c r="K505" i="83"/>
  <c r="L505" i="83" s="1"/>
  <c r="M412" i="83"/>
  <c r="K414" i="83"/>
  <c r="L414" i="83" s="1"/>
  <c r="K416" i="83"/>
  <c r="L416" i="83" s="1"/>
  <c r="D86" i="77"/>
  <c r="C86" i="77"/>
  <c r="C89" i="77" s="1"/>
  <c r="J456" i="83" l="1"/>
  <c r="J455" i="83"/>
  <c r="J454" i="83"/>
  <c r="J453" i="83"/>
  <c r="J488" i="83"/>
  <c r="K452" i="83"/>
  <c r="L452" i="83" s="1"/>
  <c r="K425" i="83"/>
  <c r="L425" i="83" s="1"/>
  <c r="K427" i="83"/>
  <c r="L427" i="83" s="1"/>
  <c r="M424" i="83"/>
  <c r="L426" i="83"/>
  <c r="K426" i="83"/>
  <c r="L428" i="83"/>
  <c r="K428" i="83"/>
  <c r="J500" i="83" l="1"/>
  <c r="J491" i="83"/>
  <c r="J489" i="83"/>
  <c r="J492" i="83"/>
  <c r="J490" i="83"/>
  <c r="K488" i="83"/>
  <c r="L488" i="83" s="1"/>
  <c r="K453" i="83"/>
  <c r="L453" i="83" s="1"/>
  <c r="K455" i="83"/>
  <c r="L455" i="83" s="1"/>
  <c r="M452" i="83"/>
  <c r="L454" i="83"/>
  <c r="K454" i="83"/>
  <c r="L456" i="83"/>
  <c r="K456" i="83"/>
  <c r="N70" i="77"/>
  <c r="O70" i="77" s="1"/>
  <c r="N55" i="77"/>
  <c r="O55" i="77" s="1"/>
  <c r="N52" i="77"/>
  <c r="O52" i="77" s="1"/>
  <c r="N29" i="77"/>
  <c r="O29" i="77" s="1"/>
  <c r="N24" i="77"/>
  <c r="O24" i="77" s="1"/>
  <c r="N21" i="77"/>
  <c r="O21" i="77" s="1"/>
  <c r="N20" i="77"/>
  <c r="O20" i="77" s="1"/>
  <c r="N17" i="77"/>
  <c r="O17" i="77" s="1"/>
  <c r="N15" i="77"/>
  <c r="O15" i="77" s="1"/>
  <c r="N14" i="77"/>
  <c r="O14" i="77" s="1"/>
  <c r="N11" i="77"/>
  <c r="O11" i="77" s="1"/>
  <c r="N71" i="77"/>
  <c r="O71" i="77" s="1"/>
  <c r="N53" i="77"/>
  <c r="O53" i="77" s="1"/>
  <c r="N27" i="77"/>
  <c r="O27" i="77" s="1"/>
  <c r="N25" i="77"/>
  <c r="O25" i="77" s="1"/>
  <c r="N12" i="77"/>
  <c r="O12" i="77" s="1"/>
  <c r="N9" i="77"/>
  <c r="O9" i="77" s="1"/>
  <c r="N23" i="77"/>
  <c r="O23" i="77" s="1"/>
  <c r="N22" i="77"/>
  <c r="O22" i="77" s="1"/>
  <c r="N19" i="77"/>
  <c r="O19" i="77" s="1"/>
  <c r="N18" i="77"/>
  <c r="O18" i="77" s="1"/>
  <c r="N7" i="77"/>
  <c r="O7" i="77" s="1"/>
  <c r="N6" i="77"/>
  <c r="O6" i="77" s="1"/>
  <c r="I46" i="39"/>
  <c r="G46" i="39"/>
  <c r="E46" i="39"/>
  <c r="I38" i="39"/>
  <c r="G38" i="39"/>
  <c r="E38" i="39"/>
  <c r="N31" i="77" l="1"/>
  <c r="O31" i="77" s="1"/>
  <c r="N80" i="77"/>
  <c r="O80" i="77" s="1"/>
  <c r="N28" i="77"/>
  <c r="N83" i="77"/>
  <c r="O83" i="77" s="1"/>
  <c r="K490" i="83"/>
  <c r="L490" i="83" s="1"/>
  <c r="M488" i="83"/>
  <c r="K491" i="83"/>
  <c r="L491" i="83" s="1"/>
  <c r="K492" i="83"/>
  <c r="L492" i="83" s="1"/>
  <c r="K489" i="83"/>
  <c r="L489" i="83" s="1"/>
  <c r="J584" i="83"/>
  <c r="J504" i="83"/>
  <c r="J502" i="83"/>
  <c r="J503" i="83"/>
  <c r="J501" i="83"/>
  <c r="M500" i="83"/>
  <c r="K500" i="83"/>
  <c r="L500" i="83" s="1"/>
  <c r="N30" i="77"/>
  <c r="O30" i="77" s="1"/>
  <c r="N42" i="77"/>
  <c r="O42" i="77" s="1"/>
  <c r="N44" i="77"/>
  <c r="O44" i="77" s="1"/>
  <c r="N32" i="77"/>
  <c r="O32" i="77" s="1"/>
  <c r="N39" i="77"/>
  <c r="O39" i="77" s="1"/>
  <c r="N37" i="77"/>
  <c r="O37" i="77" s="1"/>
  <c r="N35" i="77"/>
  <c r="O35" i="77" s="1"/>
  <c r="N33" i="77"/>
  <c r="O33" i="77" s="1"/>
  <c r="N45" i="77"/>
  <c r="O45" i="77" s="1"/>
  <c r="N50" i="77"/>
  <c r="O50" i="77" s="1"/>
  <c r="N48" i="77"/>
  <c r="O48" i="77" s="1"/>
  <c r="N46" i="77"/>
  <c r="O46" i="77" s="1"/>
  <c r="N58" i="77"/>
  <c r="O58" i="77" s="1"/>
  <c r="N56" i="77"/>
  <c r="O56" i="77" s="1"/>
  <c r="N60" i="77"/>
  <c r="O60" i="77" s="1"/>
  <c r="N62" i="77"/>
  <c r="O62" i="77" s="1"/>
  <c r="N67" i="77"/>
  <c r="O67" i="77" s="1"/>
  <c r="N65" i="77"/>
  <c r="O65" i="77" s="1"/>
  <c r="N84" i="77"/>
  <c r="O84" i="77" s="1"/>
  <c r="N40" i="77"/>
  <c r="O40" i="77" s="1"/>
  <c r="N38" i="77"/>
  <c r="O38" i="77" s="1"/>
  <c r="N36" i="77"/>
  <c r="O36" i="77" s="1"/>
  <c r="N34" i="77"/>
  <c r="O34" i="77" s="1"/>
  <c r="N41" i="77"/>
  <c r="O41" i="77" s="1"/>
  <c r="N49" i="77"/>
  <c r="O49" i="77" s="1"/>
  <c r="N47" i="77"/>
  <c r="O47" i="77" s="1"/>
  <c r="N59" i="77"/>
  <c r="O59" i="77" s="1"/>
  <c r="N57" i="77"/>
  <c r="O57" i="77" s="1"/>
  <c r="N63" i="77"/>
  <c r="O63" i="77" s="1"/>
  <c r="N61" i="77"/>
  <c r="O61" i="77" s="1"/>
  <c r="N66" i="77"/>
  <c r="O66" i="77" s="1"/>
  <c r="N64" i="77"/>
  <c r="O64" i="77" s="1"/>
  <c r="I11" i="39"/>
  <c r="E11" i="39"/>
  <c r="I7" i="39"/>
  <c r="G7" i="39"/>
  <c r="E7" i="39"/>
  <c r="D71" i="39"/>
  <c r="E71" i="39" s="1"/>
  <c r="F71" i="39" s="1"/>
  <c r="G71" i="39" s="1"/>
  <c r="H71" i="39" s="1"/>
  <c r="I71" i="39" s="1"/>
  <c r="J71" i="39" s="1"/>
  <c r="K71" i="39" s="1"/>
  <c r="L71" i="39" s="1"/>
  <c r="M71" i="39" s="1"/>
  <c r="N71" i="39" s="1"/>
  <c r="O71" i="39" s="1"/>
  <c r="I5" i="39"/>
  <c r="G5" i="39"/>
  <c r="E5" i="39"/>
  <c r="Q72" i="80"/>
  <c r="Q59" i="80"/>
  <c r="K59" i="80"/>
  <c r="P74" i="80" s="1"/>
  <c r="F59" i="80"/>
  <c r="Q58" i="80"/>
  <c r="Q51" i="80"/>
  <c r="J50" i="80"/>
  <c r="M47" i="80"/>
  <c r="D46" i="80"/>
  <c r="F33" i="80"/>
  <c r="F61" i="80" s="1"/>
  <c r="F31" i="80"/>
  <c r="F23" i="80"/>
  <c r="F21" i="80"/>
  <c r="F20" i="80"/>
  <c r="M19" i="80"/>
  <c r="F18" i="80"/>
  <c r="M17" i="80"/>
  <c r="F17" i="80"/>
  <c r="F15" i="80"/>
  <c r="Q72" i="79"/>
  <c r="Q59" i="79"/>
  <c r="K59" i="79"/>
  <c r="P74" i="79" s="1"/>
  <c r="F59" i="79"/>
  <c r="Q58" i="79"/>
  <c r="Q51" i="79"/>
  <c r="J50" i="79"/>
  <c r="M47" i="79"/>
  <c r="D46" i="79"/>
  <c r="F33" i="79"/>
  <c r="F61" i="79" s="1"/>
  <c r="F31" i="79"/>
  <c r="F23" i="79"/>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D6" i="12"/>
  <c r="I6" i="12" s="1"/>
  <c r="L9" i="1"/>
  <c r="L8" i="1"/>
  <c r="L7" i="1"/>
  <c r="W13" i="3"/>
  <c r="G22" i="6" s="1"/>
  <c r="E57" i="39" s="1"/>
  <c r="AJ13" i="3"/>
  <c r="U13" i="3"/>
  <c r="G24" i="6" s="1"/>
  <c r="G25" i="6"/>
  <c r="G23" i="6"/>
  <c r="O13" i="3"/>
  <c r="F22" i="6" s="1"/>
  <c r="F19" i="6"/>
  <c r="Q109" i="77"/>
  <c r="M13" i="3" s="1"/>
  <c r="F21" i="6" s="1"/>
  <c r="H109" i="77"/>
  <c r="I109" i="77"/>
  <c r="J109" i="77"/>
  <c r="K109" i="77"/>
  <c r="D109" i="77"/>
  <c r="E109" i="77"/>
  <c r="G109" i="77"/>
  <c r="C101" i="77"/>
  <c r="C102" i="77"/>
  <c r="C103" i="77"/>
  <c r="C104" i="77"/>
  <c r="C105" i="77"/>
  <c r="C106" i="77"/>
  <c r="C107" i="77"/>
  <c r="C108" i="77"/>
  <c r="C100" i="77"/>
  <c r="C109" i="77" s="1"/>
  <c r="M86" i="77" s="1"/>
  <c r="M89" i="77" s="1"/>
  <c r="B96" i="77"/>
  <c r="B94" i="77"/>
  <c r="A3" i="3"/>
  <c r="C38" i="39" s="1"/>
  <c r="H13" i="4"/>
  <c r="D3" i="4"/>
  <c r="Q29" i="81" l="1"/>
  <c r="S29" i="81"/>
  <c r="S45" i="81" s="1"/>
  <c r="K13" i="3"/>
  <c r="F20" i="6" s="1"/>
  <c r="N43" i="77"/>
  <c r="O43" i="77" s="1"/>
  <c r="O28" i="77"/>
  <c r="K503" i="83"/>
  <c r="L503" i="83" s="1"/>
  <c r="K504" i="83"/>
  <c r="L504" i="83" s="1"/>
  <c r="J596" i="83"/>
  <c r="J587" i="83"/>
  <c r="J585" i="83"/>
  <c r="J588" i="83"/>
  <c r="J586" i="83"/>
  <c r="K584" i="83"/>
  <c r="L584" i="83" s="1"/>
  <c r="K501" i="83"/>
  <c r="L501" i="83" s="1"/>
  <c r="K502" i="83"/>
  <c r="L502" i="83" s="1"/>
  <c r="N73" i="77"/>
  <c r="O73" i="77" s="1"/>
  <c r="D23" i="80"/>
  <c r="D22" i="80"/>
  <c r="D24" i="80"/>
  <c r="P61" i="80"/>
  <c r="D23" i="79"/>
  <c r="D22" i="79"/>
  <c r="D24" i="79"/>
  <c r="P61" i="79"/>
  <c r="D23" i="78"/>
  <c r="D22" i="78"/>
  <c r="D24" i="78"/>
  <c r="P61" i="78"/>
  <c r="K588" i="83" l="1"/>
  <c r="L588" i="83" s="1"/>
  <c r="K585" i="83"/>
  <c r="L585" i="83" s="1"/>
  <c r="J600" i="83"/>
  <c r="J599" i="83"/>
  <c r="J598" i="83"/>
  <c r="J597" i="83"/>
  <c r="J638" i="83"/>
  <c r="K596" i="83"/>
  <c r="L596" i="83" s="1"/>
  <c r="K586" i="83"/>
  <c r="L586" i="83" s="1"/>
  <c r="M584" i="83"/>
  <c r="K587" i="83"/>
  <c r="L587" i="83" s="1"/>
  <c r="N74" i="77"/>
  <c r="O74" i="77" s="1"/>
  <c r="J688" i="83" l="1"/>
  <c r="J642" i="83"/>
  <c r="J641" i="83"/>
  <c r="J640" i="83"/>
  <c r="J639" i="83"/>
  <c r="M638" i="83"/>
  <c r="K638" i="83"/>
  <c r="L638" i="83" s="1"/>
  <c r="K597" i="83"/>
  <c r="L597" i="83" s="1"/>
  <c r="K599" i="83"/>
  <c r="L599" i="83" s="1"/>
  <c r="M596" i="83"/>
  <c r="K598" i="83"/>
  <c r="L598" i="83" s="1"/>
  <c r="K600" i="83"/>
  <c r="L600" i="83" s="1"/>
  <c r="N82" i="77"/>
  <c r="O82" i="77" s="1"/>
  <c r="N79" i="77"/>
  <c r="O79" i="77" s="1"/>
  <c r="K640" i="83" l="1"/>
  <c r="L640" i="83" s="1"/>
  <c r="K642" i="83"/>
  <c r="L642" i="83" s="1"/>
  <c r="K639" i="83"/>
  <c r="L639" i="83" s="1"/>
  <c r="K641" i="83"/>
  <c r="L641" i="83" s="1"/>
  <c r="J716" i="83"/>
  <c r="J691" i="83"/>
  <c r="J689" i="83"/>
  <c r="J692" i="83"/>
  <c r="J690" i="83"/>
  <c r="K688" i="83"/>
  <c r="L688" i="83" s="1"/>
  <c r="N77" i="77"/>
  <c r="O77" i="77" s="1"/>
  <c r="N78" i="77"/>
  <c r="O78" i="77" s="1"/>
  <c r="N85" i="77"/>
  <c r="O85" i="77" s="1"/>
  <c r="L3" i="7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s="1"/>
  <c r="AD7" i="71"/>
  <c r="AD8" i="71"/>
  <c r="AG8" i="71"/>
  <c r="AH8" i="71"/>
  <c r="AE8" i="71"/>
  <c r="AF8" i="71" s="1"/>
  <c r="N8" i="71"/>
  <c r="B8" i="71" s="1"/>
  <c r="B7" i="71" s="1"/>
  <c r="B6" i="71" s="1"/>
  <c r="B5" i="71" s="1"/>
  <c r="Q8" i="71"/>
  <c r="P8" i="71"/>
  <c r="O8" i="71"/>
  <c r="C8" i="71"/>
  <c r="C7" i="71" s="1"/>
  <c r="Q9" i="71"/>
  <c r="F8" i="71"/>
  <c r="F7" i="71" s="1"/>
  <c r="F6" i="71" s="1"/>
  <c r="F5" i="71" s="1"/>
  <c r="P9" i="71"/>
  <c r="E8" i="71"/>
  <c r="E7" i="71" s="1"/>
  <c r="E6" i="71" s="1"/>
  <c r="E5" i="71" s="1"/>
  <c r="O9" i="71"/>
  <c r="N9" i="71"/>
  <c r="V8"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A120" i="9"/>
  <c r="H2" i="52"/>
  <c r="A1" i="52"/>
  <c r="A3" i="53"/>
  <c r="Q10" i="71"/>
  <c r="P10" i="71"/>
  <c r="O10" i="71"/>
  <c r="N10" i="71"/>
  <c r="D5" i="4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8" i="72"/>
  <c r="B67" i="72"/>
  <c r="B10" i="72"/>
  <c r="C53" i="10"/>
  <c r="B51" i="10"/>
  <c r="B19" i="72"/>
  <c r="A18" i="51"/>
  <c r="B13" i="72" s="1"/>
  <c r="C8" i="68"/>
  <c r="B49" i="48"/>
  <c r="B5" i="72" s="1"/>
  <c r="I19" i="43"/>
  <c r="D73" i="71"/>
  <c r="F72" i="71"/>
  <c r="F71" i="71" s="1"/>
  <c r="F70" i="71" s="1"/>
  <c r="E72" i="71"/>
  <c r="E71" i="71"/>
  <c r="E70" i="71" s="1"/>
  <c r="C72" i="71"/>
  <c r="D72" i="71" s="1"/>
  <c r="B72" i="71"/>
  <c r="B71" i="71" s="1"/>
  <c r="B70" i="71" s="1"/>
  <c r="D69" i="71"/>
  <c r="F68" i="71"/>
  <c r="F67" i="71" s="1"/>
  <c r="F66" i="71" s="1"/>
  <c r="E68" i="71"/>
  <c r="E67" i="71" s="1"/>
  <c r="E66" i="71" s="1"/>
  <c r="C68" i="71"/>
  <c r="D68" i="71" s="1"/>
  <c r="B68" i="71"/>
  <c r="B67" i="71" s="1"/>
  <c r="B66"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F51" i="71"/>
  <c r="F50" i="71" s="1"/>
  <c r="Q50" i="71"/>
  <c r="D49" i="71"/>
  <c r="Q48" i="71"/>
  <c r="P48" i="71"/>
  <c r="O48" i="71"/>
  <c r="N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s="1"/>
  <c r="Z22" i="71" s="1"/>
  <c r="N22" i="71"/>
  <c r="Q21" i="71"/>
  <c r="F22" i="71" s="1"/>
  <c r="P21" i="71"/>
  <c r="AA21" i="71" s="1"/>
  <c r="O21" i="71"/>
  <c r="N21" i="71"/>
  <c r="B22" i="71" s="1"/>
  <c r="B23" i="71" s="1"/>
  <c r="B24" i="71" s="1"/>
  <c r="S24" i="71" s="1"/>
  <c r="D21" i="71"/>
  <c r="Q20" i="71"/>
  <c r="AB20" i="71" s="1"/>
  <c r="P20" i="71"/>
  <c r="O20" i="71"/>
  <c r="Y20" i="71" s="1"/>
  <c r="Z20" i="71" s="1"/>
  <c r="N20" i="71"/>
  <c r="X19" i="71" s="1"/>
  <c r="Q19" i="71"/>
  <c r="AB19" i="71"/>
  <c r="P19" i="71"/>
  <c r="O19" i="71"/>
  <c r="Y19" i="71" s="1"/>
  <c r="Z19" i="71" s="1"/>
  <c r="N19" i="71"/>
  <c r="Q18" i="71"/>
  <c r="AB18" i="71" s="1"/>
  <c r="P18" i="71"/>
  <c r="O18" i="71"/>
  <c r="Y18" i="71" s="1"/>
  <c r="Z18" i="71" s="1"/>
  <c r="N18" i="71"/>
  <c r="Q17" i="71"/>
  <c r="F18" i="71" s="1"/>
  <c r="P17" i="71"/>
  <c r="AA17" i="71" s="1"/>
  <c r="O17" i="71"/>
  <c r="N17" i="71"/>
  <c r="X17" i="71" s="1"/>
  <c r="D17" i="71"/>
  <c r="Q16" i="71"/>
  <c r="AB16" i="71" s="1"/>
  <c r="P16" i="71"/>
  <c r="O16" i="71"/>
  <c r="Y16" i="71" s="1"/>
  <c r="Z16" i="71" s="1"/>
  <c r="N16" i="71"/>
  <c r="X15" i="71" s="1"/>
  <c r="Q15" i="71"/>
  <c r="AB15" i="71"/>
  <c r="P15" i="71"/>
  <c r="O15" i="71"/>
  <c r="Y15" i="71" s="1"/>
  <c r="Z15" i="71" s="1"/>
  <c r="N15" i="71"/>
  <c r="Q14" i="71"/>
  <c r="AB14" i="71" s="1"/>
  <c r="P14" i="71"/>
  <c r="O14" i="71"/>
  <c r="Y14" i="71" s="1"/>
  <c r="Z14" i="71" s="1"/>
  <c r="N14" i="71"/>
  <c r="X14" i="71" s="1"/>
  <c r="Q13" i="71"/>
  <c r="F14" i="71" s="1"/>
  <c r="P13" i="71"/>
  <c r="E14" i="71" s="1"/>
  <c r="E15" i="71" s="1"/>
  <c r="E16" i="71" s="1"/>
  <c r="U16" i="71" s="1"/>
  <c r="O13" i="71"/>
  <c r="N13" i="71"/>
  <c r="X9" i="71" s="1"/>
  <c r="D13" i="71"/>
  <c r="O12" i="71"/>
  <c r="C12" i="71" s="1"/>
  <c r="N12" i="71"/>
  <c r="B14" i="71"/>
  <c r="B15" i="71" s="1"/>
  <c r="B16" i="71" s="1"/>
  <c r="S16" i="71" s="1"/>
  <c r="B18" i="71"/>
  <c r="B19" i="71" s="1"/>
  <c r="B20" i="71" s="1"/>
  <c r="S20" i="71" s="1"/>
  <c r="E22" i="71"/>
  <c r="E23" i="71" s="1"/>
  <c r="E24" i="71" s="1"/>
  <c r="U24" i="71" s="1"/>
  <c r="E18" i="71"/>
  <c r="E19" i="71" s="1"/>
  <c r="E20" i="71" s="1"/>
  <c r="U20" i="71" s="1"/>
  <c r="C14" i="71"/>
  <c r="C15" i="71" s="1"/>
  <c r="AB13" i="71"/>
  <c r="AA15" i="71"/>
  <c r="C18" i="71"/>
  <c r="C19" i="71" s="1"/>
  <c r="X18" i="71"/>
  <c r="X20" i="71"/>
  <c r="C22" i="71"/>
  <c r="C23" i="71" s="1"/>
  <c r="Y21" i="71"/>
  <c r="Z21" i="71" s="1"/>
  <c r="AB21" i="71"/>
  <c r="X22" i="71"/>
  <c r="AA22" i="71"/>
  <c r="Y9" i="71"/>
  <c r="Z9" i="71" s="1"/>
  <c r="Y11" i="71"/>
  <c r="Z11" i="71" s="1"/>
  <c r="B12" i="71"/>
  <c r="B11" i="71" s="1"/>
  <c r="B10" i="71" s="1"/>
  <c r="X3" i="71"/>
  <c r="D14" i="71"/>
  <c r="D22" i="71"/>
  <c r="C27" i="71"/>
  <c r="D26" i="71"/>
  <c r="C35" i="71"/>
  <c r="C36" i="71" s="1"/>
  <c r="D34" i="71"/>
  <c r="P12" i="71"/>
  <c r="E12" i="71" s="1"/>
  <c r="E47" i="71"/>
  <c r="E48" i="71" s="1"/>
  <c r="U48" i="71" s="1"/>
  <c r="Q49" i="71"/>
  <c r="U52" i="71"/>
  <c r="E51" i="71"/>
  <c r="P51" i="71" s="1"/>
  <c r="Q12" i="71"/>
  <c r="Q51" i="71"/>
  <c r="T52" i="71"/>
  <c r="O52" i="71"/>
  <c r="D52" i="71"/>
  <c r="C51" i="71"/>
  <c r="C50" i="71" s="1"/>
  <c r="Q52" i="71"/>
  <c r="C55" i="71"/>
  <c r="C54" i="71" s="1"/>
  <c r="D54" i="71" s="1"/>
  <c r="E55" i="71"/>
  <c r="E54" i="71"/>
  <c r="D56" i="71"/>
  <c r="C59" i="71"/>
  <c r="D59" i="71" s="1"/>
  <c r="E59" i="71"/>
  <c r="E58" i="71"/>
  <c r="D60" i="71"/>
  <c r="C63" i="71"/>
  <c r="D63" i="71" s="1"/>
  <c r="E63" i="71"/>
  <c r="E62" i="71"/>
  <c r="D64" i="71"/>
  <c r="C67" i="71"/>
  <c r="C66" i="71" s="1"/>
  <c r="D66" i="71" s="1"/>
  <c r="C71" i="71"/>
  <c r="S12" i="71"/>
  <c r="F12" i="71"/>
  <c r="F11" i="71"/>
  <c r="F10" i="71" s="1"/>
  <c r="AB3" i="71"/>
  <c r="AB9" i="71"/>
  <c r="AB10" i="71"/>
  <c r="AB11" i="71"/>
  <c r="AB12" i="71"/>
  <c r="AA3" i="71"/>
  <c r="AA12" i="71"/>
  <c r="D67" i="71"/>
  <c r="D71" i="71"/>
  <c r="C70" i="71"/>
  <c r="D70" i="71"/>
  <c r="D55" i="71"/>
  <c r="E50" i="71"/>
  <c r="P49" i="71" s="1"/>
  <c r="C28" i="71"/>
  <c r="D28" i="71" s="1"/>
  <c r="D27" i="71"/>
  <c r="T28" i="71"/>
  <c r="O27" i="6"/>
  <c r="N27" i="6"/>
  <c r="P20" i="6"/>
  <c r="P21" i="6"/>
  <c r="P22" i="6"/>
  <c r="P23" i="6"/>
  <c r="P24" i="6"/>
  <c r="P25" i="6"/>
  <c r="P26" i="6"/>
  <c r="P19" i="6"/>
  <c r="AP9" i="1"/>
  <c r="AP10" i="1"/>
  <c r="AP11" i="1"/>
  <c r="AP12" i="1"/>
  <c r="AP13" i="1"/>
  <c r="L22" i="6"/>
  <c r="L23" i="6"/>
  <c r="L24" i="6"/>
  <c r="L25" i="6"/>
  <c r="L26" i="6"/>
  <c r="P27" i="6"/>
  <c r="A7" i="70"/>
  <c r="A8" i="70"/>
  <c r="A9" i="70"/>
  <c r="A10" i="70"/>
  <c r="A11" i="70"/>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U18" i="36"/>
  <c r="S21" i="34"/>
  <c r="F94" i="40"/>
  <c r="H25" i="40"/>
  <c r="G94" i="40"/>
  <c r="J25" i="40"/>
  <c r="H29" i="39"/>
  <c r="U29" i="39" s="1"/>
  <c r="J29" i="39"/>
  <c r="W29" i="39" s="1"/>
  <c r="J18" i="36"/>
  <c r="F68" i="35"/>
  <c r="G68" i="35" s="1"/>
  <c r="H18" i="35"/>
  <c r="AB18" i="35" s="1"/>
  <c r="S18" i="35"/>
  <c r="J18" i="35"/>
  <c r="F77" i="37"/>
  <c r="G77" i="37" s="1"/>
  <c r="H21" i="37"/>
  <c r="F21" i="37"/>
  <c r="AA21" i="37" s="1"/>
  <c r="H21" i="34"/>
  <c r="AB21" i="34" s="1"/>
  <c r="H21" i="33"/>
  <c r="U21" i="33" s="1"/>
  <c r="F21" i="33"/>
  <c r="E83" i="21"/>
  <c r="F83" i="21" s="1"/>
  <c r="G83" i="21" s="1"/>
  <c r="S21" i="21"/>
  <c r="H1" i="69"/>
  <c r="AC25" i="40"/>
  <c r="W25" i="40"/>
  <c r="AB25" i="40"/>
  <c r="U25" i="40"/>
  <c r="AB29" i="39"/>
  <c r="AC29" i="39"/>
  <c r="AC18" i="36"/>
  <c r="W18" i="36"/>
  <c r="AB21" i="37"/>
  <c r="U21" i="37"/>
  <c r="S21" i="37"/>
  <c r="AB21" i="33"/>
  <c r="AA21" i="33"/>
  <c r="S21" i="33"/>
  <c r="U18" i="35"/>
  <c r="AC18" i="35"/>
  <c r="W18" i="35"/>
  <c r="J21" i="37"/>
  <c r="W21" i="37" s="1"/>
  <c r="J21" i="34"/>
  <c r="J21" i="33"/>
  <c r="H21" i="21"/>
  <c r="U21" i="21" s="1"/>
  <c r="F38" i="69"/>
  <c r="E37" i="69"/>
  <c r="F36" i="69"/>
  <c r="F35" i="69"/>
  <c r="F21" i="69"/>
  <c r="C21" i="69" s="1"/>
  <c r="F20" i="69"/>
  <c r="E10" i="69"/>
  <c r="E9" i="69"/>
  <c r="F7" i="69"/>
  <c r="C7" i="69" s="1"/>
  <c r="AC21" i="37"/>
  <c r="AC21" i="33"/>
  <c r="W21" i="33"/>
  <c r="J21" i="21"/>
  <c r="W21" i="21" s="1"/>
  <c r="C40" i="69"/>
  <c r="F38" i="68"/>
  <c r="E37" i="68"/>
  <c r="F36" i="68"/>
  <c r="F35" i="68"/>
  <c r="F21" i="68"/>
  <c r="F20" i="68"/>
  <c r="E10" i="68"/>
  <c r="E9" i="68"/>
  <c r="F7" i="68"/>
  <c r="Q72" i="67"/>
  <c r="Q59" i="67"/>
  <c r="Q58" i="67"/>
  <c r="Q51" i="67"/>
  <c r="J50" i="67"/>
  <c r="M47" i="67"/>
  <c r="J53" i="67" s="1"/>
  <c r="D46" i="67"/>
  <c r="F33" i="67"/>
  <c r="F61" i="67" s="1"/>
  <c r="F23" i="67"/>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3" i="1"/>
  <c r="D6" i="1"/>
  <c r="D9" i="1"/>
  <c r="D10" i="1"/>
  <c r="D11" i="1"/>
  <c r="D12" i="1"/>
  <c r="D13" i="1"/>
  <c r="D7" i="1"/>
  <c r="D8" i="1"/>
  <c r="A7" i="1"/>
  <c r="B7" i="1" s="1"/>
  <c r="E7" i="1" s="1"/>
  <c r="A8" i="1"/>
  <c r="B8" i="1" s="1"/>
  <c r="E8" i="1" s="1"/>
  <c r="A9" i="1"/>
  <c r="A10" i="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I15" i="4"/>
  <c r="H15" i="4"/>
  <c r="G15" i="4"/>
  <c r="F10" i="1" s="1"/>
  <c r="E15" i="4"/>
  <c r="F9" i="1" s="1"/>
  <c r="D15" i="4"/>
  <c r="F8"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D7" i="12" s="1"/>
  <c r="D8" i="12" s="1"/>
  <c r="E21" i="6"/>
  <c r="K8" i="1" s="1"/>
  <c r="M8" i="1" s="1"/>
  <c r="F23" i="15"/>
  <c r="D24" i="15"/>
  <c r="E22" i="6"/>
  <c r="K9" i="1" s="1"/>
  <c r="E23" i="6"/>
  <c r="K10" i="1" s="1"/>
  <c r="E24" i="6"/>
  <c r="H7" i="12" s="1"/>
  <c r="E25" i="6"/>
  <c r="K12" i="1" s="1"/>
  <c r="M12"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s="1"/>
  <c r="O53" i="9" s="1"/>
  <c r="D89" i="9"/>
  <c r="C89" i="9" s="1"/>
  <c r="C87" i="9" s="1"/>
  <c r="J55" i="9"/>
  <c r="B31" i="1"/>
  <c r="E19" i="11"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I7" i="12"/>
  <c r="I8" i="12" s="1"/>
  <c r="J7" i="12"/>
  <c r="K7" i="12"/>
  <c r="H111" i="21"/>
  <c r="B110" i="39"/>
  <c r="F35" i="39" s="1"/>
  <c r="B112" i="39"/>
  <c r="J30" i="36"/>
  <c r="AC30" i="36" s="1"/>
  <c r="H30" i="36"/>
  <c r="F30" i="36"/>
  <c r="AA30" i="36" s="1"/>
  <c r="C26" i="35"/>
  <c r="C79" i="35" s="1"/>
  <c r="H26" i="35" s="1"/>
  <c r="U26" i="35" s="1"/>
  <c r="J31" i="35"/>
  <c r="W31" i="35" s="1"/>
  <c r="H31" i="35"/>
  <c r="AB31" i="35" s="1"/>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D93" i="39"/>
  <c r="E93" i="39" s="1"/>
  <c r="F93" i="39" s="1"/>
  <c r="G93" i="39" s="1"/>
  <c r="D91" i="39"/>
  <c r="E91" i="39" s="1"/>
  <c r="F91" i="39" s="1"/>
  <c r="G91" i="39" s="1"/>
  <c r="D89" i="39"/>
  <c r="E89" i="39" s="1"/>
  <c r="F89" i="39" s="1"/>
  <c r="G89" i="39" s="1"/>
  <c r="B86" i="39"/>
  <c r="B84" i="39"/>
  <c r="J13" i="39" s="1"/>
  <c r="W13" i="39" s="1"/>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s="1"/>
  <c r="B110" i="37"/>
  <c r="J39" i="37" s="1"/>
  <c r="AC39" i="37" s="1"/>
  <c r="B108" i="37"/>
  <c r="C23" i="37"/>
  <c r="C19" i="37"/>
  <c r="C17" i="37"/>
  <c r="C15" i="37"/>
  <c r="B112" i="37"/>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B77" i="35"/>
  <c r="F25" i="35" s="1"/>
  <c r="S25" i="35" s="1"/>
  <c r="B75" i="35"/>
  <c r="J24" i="35" s="1"/>
  <c r="AC24" i="35"/>
  <c r="B73" i="35"/>
  <c r="H23" i="35"/>
  <c r="U23" i="35" s="1"/>
  <c r="B57" i="35"/>
  <c r="B61" i="35"/>
  <c r="F13" i="35" s="1"/>
  <c r="S13" i="35" s="1"/>
  <c r="B59" i="35"/>
  <c r="B131" i="34"/>
  <c r="F47" i="34" s="1"/>
  <c r="S47" i="34" s="1"/>
  <c r="B129" i="34"/>
  <c r="B127" i="34"/>
  <c r="H45" i="34" s="1"/>
  <c r="B99" i="34"/>
  <c r="B97" i="34"/>
  <c r="H31" i="34" s="1"/>
  <c r="B95" i="34"/>
  <c r="B93" i="34"/>
  <c r="J29" i="34" s="1"/>
  <c r="W29" i="34" s="1"/>
  <c r="B75" i="34"/>
  <c r="B73" i="34"/>
  <c r="H13" i="34" s="1"/>
  <c r="B71" i="34"/>
  <c r="B130" i="33"/>
  <c r="J46" i="33" s="1"/>
  <c r="W46" i="33" s="1"/>
  <c r="B128" i="33"/>
  <c r="B126" i="33"/>
  <c r="J44" i="33" s="1"/>
  <c r="W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c r="C20" i="20"/>
  <c r="B77" i="43"/>
  <c r="C18" i="20"/>
  <c r="B71" i="43"/>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H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J45" i="39"/>
  <c r="W45" i="39" s="1"/>
  <c r="F36" i="39"/>
  <c r="S36" i="39" s="1"/>
  <c r="H36" i="39"/>
  <c r="AB36" i="39" s="1"/>
  <c r="J35" i="39"/>
  <c r="AC35" i="39" s="1"/>
  <c r="J36" i="39"/>
  <c r="AC36" i="39" s="1"/>
  <c r="U9" i="39"/>
  <c r="U30" i="37"/>
  <c r="W31" i="37"/>
  <c r="E103" i="37"/>
  <c r="F103" i="37"/>
  <c r="G103" i="37" s="1"/>
  <c r="H103" i="37" s="1"/>
  <c r="I103" i="37" s="1"/>
  <c r="J103" i="37" s="1"/>
  <c r="K103" i="37" s="1"/>
  <c r="L103" i="37" s="1"/>
  <c r="M103" i="37" s="1"/>
  <c r="U14" i="37"/>
  <c r="F29" i="36"/>
  <c r="AA29" i="36"/>
  <c r="F16" i="36"/>
  <c r="AA16" i="36" s="1"/>
  <c r="W28" i="36"/>
  <c r="AA31" i="36"/>
  <c r="W31" i="36"/>
  <c r="U31" i="36"/>
  <c r="J33" i="36"/>
  <c r="W33" i="36" s="1"/>
  <c r="H22" i="35"/>
  <c r="AB22" i="35" s="1"/>
  <c r="AC27" i="35"/>
  <c r="W28" i="35"/>
  <c r="U31" i="35"/>
  <c r="W34" i="35"/>
  <c r="W36" i="35"/>
  <c r="W22" i="35"/>
  <c r="S31" i="35"/>
  <c r="U34" i="35"/>
  <c r="F36" i="34"/>
  <c r="J35" i="34"/>
  <c r="W9" i="34"/>
  <c r="S34" i="34"/>
  <c r="H39" i="33"/>
  <c r="AB39" i="33" s="1"/>
  <c r="F26" i="33"/>
  <c r="AA26" i="33" s="1"/>
  <c r="U33" i="33"/>
  <c r="U35" i="33"/>
  <c r="W33" i="33"/>
  <c r="W39" i="33"/>
  <c r="H39" i="37"/>
  <c r="AB39" i="37" s="1"/>
  <c r="S27" i="35"/>
  <c r="F11" i="40"/>
  <c r="AA11" i="40" s="1"/>
  <c r="H11" i="40"/>
  <c r="AB11" i="40" s="1"/>
  <c r="AC40" i="40"/>
  <c r="AC9" i="40"/>
  <c r="S34" i="40"/>
  <c r="S38" i="40"/>
  <c r="F42" i="39"/>
  <c r="AA42" i="39" s="1"/>
  <c r="F41" i="39"/>
  <c r="S41" i="39" s="1"/>
  <c r="H40" i="39"/>
  <c r="AB40" i="39" s="1"/>
  <c r="S34" i="39"/>
  <c r="H34" i="39"/>
  <c r="U34" i="39" s="1"/>
  <c r="E109" i="39"/>
  <c r="F31" i="39"/>
  <c r="AA31" i="39" s="1"/>
  <c r="E101" i="39"/>
  <c r="H27"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G101" i="39" s="1"/>
  <c r="J19" i="39"/>
  <c r="AC19" i="39" s="1"/>
  <c r="J17" i="39"/>
  <c r="J27" i="39"/>
  <c r="AC27" i="39" s="1"/>
  <c r="F11" i="21"/>
  <c r="S11" i="21" s="1"/>
  <c r="S40" i="21"/>
  <c r="U34" i="21"/>
  <c r="S34" i="21"/>
  <c r="C25" i="39"/>
  <c r="C27"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J34" i="36"/>
  <c r="W34" i="36" s="1"/>
  <c r="U30" i="36"/>
  <c r="J30" i="35"/>
  <c r="W30" i="35"/>
  <c r="H30" i="35"/>
  <c r="AB30" i="35"/>
  <c r="F22" i="35"/>
  <c r="AA22" i="35"/>
  <c r="H10" i="35"/>
  <c r="U10" i="35"/>
  <c r="AC16" i="36"/>
  <c r="F33" i="36"/>
  <c r="AA33" i="36" s="1"/>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s="1"/>
  <c r="G89" i="37" s="1"/>
  <c r="H89" i="37" s="1"/>
  <c r="I89" i="37" s="1"/>
  <c r="J89" i="37" s="1"/>
  <c r="K89" i="37" s="1"/>
  <c r="L89" i="37" s="1"/>
  <c r="M89" i="37" s="1"/>
  <c r="J29" i="37"/>
  <c r="W29" i="37"/>
  <c r="F29" i="37"/>
  <c r="S29" i="37"/>
  <c r="H36" i="37"/>
  <c r="AB36" i="37" s="1"/>
  <c r="J37" i="37"/>
  <c r="AC37" i="37" s="1"/>
  <c r="H37" i="37"/>
  <c r="H40" i="37"/>
  <c r="U40" i="37" s="1"/>
  <c r="J40" i="37"/>
  <c r="F40" i="37"/>
  <c r="AC12" i="40"/>
  <c r="H14" i="33"/>
  <c r="F14" i="33"/>
  <c r="J14" i="33"/>
  <c r="W14" i="33" s="1"/>
  <c r="F30" i="33"/>
  <c r="AA30" i="33" s="1"/>
  <c r="H44" i="33"/>
  <c r="AB44" i="33" s="1"/>
  <c r="AC44" i="33"/>
  <c r="AC46" i="33"/>
  <c r="U13" i="34"/>
  <c r="F29" i="34"/>
  <c r="J31" i="34"/>
  <c r="AC31" i="34" s="1"/>
  <c r="F31" i="34"/>
  <c r="J45" i="34"/>
  <c r="W45" i="34" s="1"/>
  <c r="H47" i="34"/>
  <c r="U47" i="34" s="1"/>
  <c r="J47" i="34"/>
  <c r="J13" i="35"/>
  <c r="J25" i="35"/>
  <c r="W25" i="35" s="1"/>
  <c r="H25" i="35"/>
  <c r="F35" i="35"/>
  <c r="AA35" i="35" s="1"/>
  <c r="J25" i="36"/>
  <c r="F25" i="36"/>
  <c r="S25" i="36" s="1"/>
  <c r="H25" i="36"/>
  <c r="AB25" i="36" s="1"/>
  <c r="F13" i="37"/>
  <c r="F28" i="37"/>
  <c r="AA28" i="37" s="1"/>
  <c r="J28" i="37"/>
  <c r="AC28" i="37" s="1"/>
  <c r="H28" i="37"/>
  <c r="H38" i="37"/>
  <c r="AB38" i="37" s="1"/>
  <c r="J38" i="37"/>
  <c r="F38" i="37"/>
  <c r="S38" i="37" s="1"/>
  <c r="F43" i="39"/>
  <c r="AA43" i="39" s="1"/>
  <c r="J14" i="39"/>
  <c r="AC14" i="39" s="1"/>
  <c r="F14" i="39"/>
  <c r="AA14" i="39" s="1"/>
  <c r="H14" i="39"/>
  <c r="AB14" i="39" s="1"/>
  <c r="F12" i="40"/>
  <c r="H30" i="40"/>
  <c r="F33" i="40"/>
  <c r="AA33" i="40" s="1"/>
  <c r="H33" i="40"/>
  <c r="J35" i="40"/>
  <c r="AC35" i="40" s="1"/>
  <c r="J37" i="40"/>
  <c r="AC37" i="40" s="1"/>
  <c r="H13" i="40"/>
  <c r="U13" i="40" s="1"/>
  <c r="J13" i="40"/>
  <c r="W13" i="40" s="1"/>
  <c r="F13" i="40"/>
  <c r="AA13" i="40" s="1"/>
  <c r="F14" i="37"/>
  <c r="S14" i="37" s="1"/>
  <c r="F13" i="39"/>
  <c r="AA13" i="39" s="1"/>
  <c r="H13" i="39"/>
  <c r="AB13" i="39" s="1"/>
  <c r="J14" i="40"/>
  <c r="J14" i="37"/>
  <c r="AC14" i="37" s="1"/>
  <c r="J36" i="37"/>
  <c r="AC36" i="37" s="1"/>
  <c r="G105" i="37"/>
  <c r="AB11" i="35"/>
  <c r="J10" i="36"/>
  <c r="AC10" i="36" s="1"/>
  <c r="AB30" i="21"/>
  <c r="W13" i="36"/>
  <c r="W11" i="36"/>
  <c r="AB46" i="34"/>
  <c r="AA14" i="34"/>
  <c r="AB45" i="33"/>
  <c r="U31" i="33"/>
  <c r="U13" i="33"/>
  <c r="S44" i="34"/>
  <c r="BA585" i="3"/>
  <c r="AZ585" i="3" s="1"/>
  <c r="F17" i="21"/>
  <c r="AA17" i="21" s="1"/>
  <c r="H17" i="21"/>
  <c r="F15" i="21"/>
  <c r="S15" i="21" s="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AB27" i="37"/>
  <c r="AA36" i="39"/>
  <c r="F39" i="33"/>
  <c r="AA39" i="33"/>
  <c r="E123" i="33"/>
  <c r="F42" i="33"/>
  <c r="AA42" i="33"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AA12" i="35"/>
  <c r="W23" i="35"/>
  <c r="W14" i="37"/>
  <c r="U33" i="37"/>
  <c r="W26" i="37"/>
  <c r="AC8" i="37"/>
  <c r="U26" i="37"/>
  <c r="AB13" i="34"/>
  <c r="W37" i="34"/>
  <c r="AB37" i="34"/>
  <c r="AA13" i="33"/>
  <c r="AC45" i="33"/>
  <c r="U11" i="33"/>
  <c r="U19" i="21"/>
  <c r="W44" i="21"/>
  <c r="AC46" i="21"/>
  <c r="AB38" i="21"/>
  <c r="F43" i="33"/>
  <c r="W15" i="34"/>
  <c r="AC15" i="34"/>
  <c r="W16" i="35"/>
  <c r="G107" i="37"/>
  <c r="H107" i="37" s="1"/>
  <c r="I107" i="37" s="1"/>
  <c r="J107" i="37" s="1"/>
  <c r="K107" i="37" s="1"/>
  <c r="L107" i="37" s="1"/>
  <c r="M107" i="37" s="1"/>
  <c r="H37" i="21"/>
  <c r="H19" i="34"/>
  <c r="F36" i="35"/>
  <c r="S36" i="35" s="1"/>
  <c r="J9" i="37"/>
  <c r="W9" i="37" s="1"/>
  <c r="H9" i="37"/>
  <c r="AB9" i="37" s="1"/>
  <c r="F9" i="37"/>
  <c r="J12" i="37"/>
  <c r="H12" i="37"/>
  <c r="F12" i="37"/>
  <c r="S12" i="37" s="1"/>
  <c r="E71" i="37"/>
  <c r="F71" i="37" s="1"/>
  <c r="G71" i="37" s="1"/>
  <c r="F15" i="37"/>
  <c r="AA15" i="37" s="1"/>
  <c r="E94" i="37"/>
  <c r="F31" i="37"/>
  <c r="S31" i="37"/>
  <c r="F12" i="39"/>
  <c r="S12" i="39" s="1"/>
  <c r="J42" i="39"/>
  <c r="AC42" i="39" s="1"/>
  <c r="H21" i="40"/>
  <c r="AB21" i="40"/>
  <c r="F94" i="37"/>
  <c r="G94" i="37" s="1"/>
  <c r="H94" i="37" s="1"/>
  <c r="I94" i="37" s="1"/>
  <c r="J94" i="37" s="1"/>
  <c r="K94" i="37" s="1"/>
  <c r="L94" i="37" s="1"/>
  <c r="M94" i="37" s="1"/>
  <c r="H31" i="37"/>
  <c r="U31" i="37" s="1"/>
  <c r="J15" i="37"/>
  <c r="W15" i="37" s="1"/>
  <c r="C12" i="43"/>
  <c r="H19" i="40"/>
  <c r="U19" i="40"/>
  <c r="F88" i="40"/>
  <c r="G88" i="40"/>
  <c r="F19" i="40"/>
  <c r="S19" i="40"/>
  <c r="AC13" i="40"/>
  <c r="AC43" i="39"/>
  <c r="U45" i="39"/>
  <c r="AB44" i="39"/>
  <c r="H37" i="39"/>
  <c r="AB37" i="39" s="1"/>
  <c r="AC37" i="39"/>
  <c r="W37" i="39"/>
  <c r="F15" i="39"/>
  <c r="AA15" i="39" s="1"/>
  <c r="H15" i="39"/>
  <c r="U15" i="39" s="1"/>
  <c r="J15" i="39"/>
  <c r="W15" i="39" s="1"/>
  <c r="H41" i="39"/>
  <c r="U41" i="39" s="1"/>
  <c r="AB34" i="39"/>
  <c r="W14" i="39"/>
  <c r="W9" i="39"/>
  <c r="W8" i="39"/>
  <c r="J19" i="40"/>
  <c r="AC19" i="40" s="1"/>
  <c r="J50" i="40"/>
  <c r="H103" i="9"/>
  <c r="D8" i="53" s="1"/>
  <c r="B16" i="53"/>
  <c r="B33" i="72" s="1"/>
  <c r="C7" i="37"/>
  <c r="C7" i="34"/>
  <c r="C59" i="34" s="1"/>
  <c r="D59" i="34" s="1"/>
  <c r="E59" i="34" s="1"/>
  <c r="F59" i="34" s="1"/>
  <c r="G59" i="34" s="1"/>
  <c r="C7" i="36"/>
  <c r="W35" i="40"/>
  <c r="A118" i="9"/>
  <c r="A4" i="52"/>
  <c r="B41" i="72" s="1"/>
  <c r="G4" i="4"/>
  <c r="I4" i="4"/>
  <c r="K5" i="4"/>
  <c r="B47" i="48" s="1"/>
  <c r="A2" i="9"/>
  <c r="N2" i="43"/>
  <c r="F59" i="43"/>
  <c r="AZ24" i="3"/>
  <c r="AZ28" i="3"/>
  <c r="BL549" i="3"/>
  <c r="AZ549" i="3" s="1"/>
  <c r="AZ494" i="3"/>
  <c r="AZ502" i="3"/>
  <c r="AZ522" i="3"/>
  <c r="AZ530"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5" i="3"/>
  <c r="AZ63" i="3"/>
  <c r="AZ71" i="3"/>
  <c r="AZ79" i="3"/>
  <c r="AZ83" i="3"/>
  <c r="AZ136" i="3"/>
  <c r="AZ160" i="3"/>
  <c r="AZ176" i="3"/>
  <c r="AZ192" i="3"/>
  <c r="AZ85" i="3"/>
  <c r="AZ93" i="3"/>
  <c r="AZ101" i="3"/>
  <c r="AZ128" i="3"/>
  <c r="G534" i="3"/>
  <c r="G530" i="3"/>
  <c r="G522" i="3"/>
  <c r="G516" i="3"/>
  <c r="G512" i="3"/>
  <c r="G506" i="3"/>
  <c r="G498" i="3"/>
  <c r="G494"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54" i="3"/>
  <c r="AZ170" i="3"/>
  <c r="AZ186"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G353" i="3"/>
  <c r="BA357" i="3"/>
  <c r="AZ357" i="3" s="1"/>
  <c r="BL358" i="3"/>
  <c r="AZ358" i="3" s="1"/>
  <c r="G359" i="3"/>
  <c r="BA361" i="3"/>
  <c r="BL362" i="3"/>
  <c r="G363" i="3"/>
  <c r="BA365" i="3"/>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BL384" i="3"/>
  <c r="AZ384" i="3" s="1"/>
  <c r="G385" i="3"/>
  <c r="BA387" i="3"/>
  <c r="BL388" i="3"/>
  <c r="G389" i="3"/>
  <c r="BA391" i="3"/>
  <c r="AZ391" i="3" s="1"/>
  <c r="BL392" i="3"/>
  <c r="G393" i="3"/>
  <c r="AZ263" i="3"/>
  <c r="AZ279" i="3"/>
  <c r="AZ283" i="3"/>
  <c r="AZ291" i="3"/>
  <c r="BO5" i="3"/>
  <c r="BJ5" i="3"/>
  <c r="BF5" i="3"/>
  <c r="AZ496" i="3"/>
  <c r="G548" i="3"/>
  <c r="G538" i="3"/>
  <c r="G520" i="3"/>
  <c r="G502" i="3"/>
  <c r="BS5" i="3"/>
  <c r="AZ343" i="3"/>
  <c r="BK5" i="3"/>
  <c r="G17" i="3"/>
  <c r="BA17" i="3"/>
  <c r="BT5" i="3"/>
  <c r="AZ352" i="3"/>
  <c r="BA15" i="3"/>
  <c r="AZ15" i="3"/>
  <c r="BR5" i="3"/>
  <c r="AZ396" i="3"/>
  <c r="AZ499" i="3"/>
  <c r="G509" i="3"/>
  <c r="AZ491" i="3"/>
  <c r="AZ493" i="3"/>
  <c r="F81" i="43"/>
  <c r="F48" i="43"/>
  <c r="H52" i="43" s="1"/>
  <c r="F70" i="43"/>
  <c r="E17" i="43"/>
  <c r="I17" i="43"/>
  <c r="J17" i="43"/>
  <c r="F6" i="1"/>
  <c r="U43" i="21"/>
  <c r="U35" i="21"/>
  <c r="AC35" i="21"/>
  <c r="F48" i="9"/>
  <c r="O52" i="9" s="1"/>
  <c r="AZ501" i="3"/>
  <c r="W44" i="34"/>
  <c r="AC44" i="34"/>
  <c r="S15" i="37"/>
  <c r="J37" i="33"/>
  <c r="W37" i="33" s="1"/>
  <c r="F106" i="33"/>
  <c r="G106" i="33" s="1"/>
  <c r="H106" i="33" s="1"/>
  <c r="I106" i="33" s="1"/>
  <c r="J106" i="33" s="1"/>
  <c r="K106" i="33" s="1"/>
  <c r="L106" i="33" s="1"/>
  <c r="M106" i="33" s="1"/>
  <c r="J34" i="33"/>
  <c r="W34" i="33" s="1"/>
  <c r="F33" i="34"/>
  <c r="S33" i="34" s="1"/>
  <c r="W12" i="36"/>
  <c r="AC12" i="36"/>
  <c r="H20" i="36"/>
  <c r="J20" i="36"/>
  <c r="W20" i="36" s="1"/>
  <c r="W24" i="36"/>
  <c r="J27" i="36"/>
  <c r="W27" i="36"/>
  <c r="AC33" i="40"/>
  <c r="F111" i="40"/>
  <c r="G111" i="40"/>
  <c r="H111" i="40" s="1"/>
  <c r="I111" i="40" s="1"/>
  <c r="J111" i="40" s="1"/>
  <c r="K111" i="40" s="1"/>
  <c r="L111" i="40" s="1"/>
  <c r="M111" i="40" s="1"/>
  <c r="H35" i="40"/>
  <c r="AB35" i="40"/>
  <c r="W29" i="35"/>
  <c r="H35" i="37"/>
  <c r="U35" i="37"/>
  <c r="AC14" i="35"/>
  <c r="H20" i="35"/>
  <c r="F20" i="35"/>
  <c r="AA20" i="35" s="1"/>
  <c r="AB23" i="35"/>
  <c r="AB29" i="36"/>
  <c r="U29" i="36"/>
  <c r="H32" i="37"/>
  <c r="AB32" i="37"/>
  <c r="F96" i="37"/>
  <c r="H27" i="40"/>
  <c r="J27" i="40"/>
  <c r="AC27" i="40" s="1"/>
  <c r="F27" i="40"/>
  <c r="J30" i="40"/>
  <c r="AC30" i="40" s="1"/>
  <c r="F30" i="40"/>
  <c r="AA30" i="40" s="1"/>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54" i="3"/>
  <c r="AZ386" i="3"/>
  <c r="C40" i="11"/>
  <c r="AZ227" i="3"/>
  <c r="AZ232" i="3"/>
  <c r="AZ243" i="3"/>
  <c r="AZ248" i="3"/>
  <c r="AZ259" i="3"/>
  <c r="AZ280" i="3"/>
  <c r="AZ288" i="3"/>
  <c r="AZ114" i="3"/>
  <c r="AZ130" i="3"/>
  <c r="AZ29" i="3"/>
  <c r="AZ31" i="3"/>
  <c r="AZ33" i="3"/>
  <c r="AZ42" i="3"/>
  <c r="AZ53" i="3"/>
  <c r="AZ58" i="3"/>
  <c r="AZ72" i="3"/>
  <c r="AZ74" i="3"/>
  <c r="AZ77" i="3"/>
  <c r="AZ82" i="3"/>
  <c r="AZ86" i="3"/>
  <c r="AZ94" i="3"/>
  <c r="AZ110" i="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s="1"/>
  <c r="D93" i="9"/>
  <c r="AC26" i="33"/>
  <c r="W26" i="33"/>
  <c r="W27" i="34"/>
  <c r="AC27" i="34"/>
  <c r="AB34" i="36"/>
  <c r="U34" i="36"/>
  <c r="AB33" i="36"/>
  <c r="U33" i="36"/>
  <c r="AC39" i="40"/>
  <c r="W39" i="40"/>
  <c r="AZ401" i="3"/>
  <c r="AZ417" i="3"/>
  <c r="AZ433" i="3"/>
  <c r="AZ465" i="3"/>
  <c r="W12" i="33"/>
  <c r="AC12" i="33"/>
  <c r="AA32" i="36"/>
  <c r="S32" i="36"/>
  <c r="AZ408" i="3"/>
  <c r="AZ457" i="3"/>
  <c r="AZ473" i="3"/>
  <c r="AZ490" i="3"/>
  <c r="AA39" i="34"/>
  <c r="BL14" i="3"/>
  <c r="U30" i="33"/>
  <c r="AA47" i="34"/>
  <c r="W28" i="37"/>
  <c r="S19" i="39"/>
  <c r="F12" i="33"/>
  <c r="H12" i="39"/>
  <c r="AB12" i="39" s="1"/>
  <c r="F39" i="40"/>
  <c r="AZ367" i="3"/>
  <c r="AZ234" i="3"/>
  <c r="AZ250" i="3"/>
  <c r="AZ281" i="3"/>
  <c r="AZ286" i="3"/>
  <c r="AZ149" i="3"/>
  <c r="AZ165" i="3"/>
  <c r="AZ181" i="3"/>
  <c r="AZ197" i="3"/>
  <c r="AZ26" i="3"/>
  <c r="B12" i="1"/>
  <c r="E12" i="1" s="1"/>
  <c r="B10" i="1"/>
  <c r="E10" i="1"/>
  <c r="AZ84" i="3"/>
  <c r="AZ88" i="3"/>
  <c r="S13" i="1"/>
  <c r="R13" i="1"/>
  <c r="J51" i="67"/>
  <c r="C42" i="1"/>
  <c r="C77" i="9" s="1"/>
  <c r="C74" i="9" s="1"/>
  <c r="H100" i="43"/>
  <c r="C30" i="66"/>
  <c r="E26" i="66" s="1"/>
  <c r="AC34" i="33"/>
  <c r="B41" i="1"/>
  <c r="S22" i="31"/>
  <c r="J100" i="43"/>
  <c r="AB37" i="40"/>
  <c r="S35" i="40"/>
  <c r="U35" i="40"/>
  <c r="AC36" i="40"/>
  <c r="AA32" i="40"/>
  <c r="S23" i="40"/>
  <c r="AC15" i="40"/>
  <c r="AA19" i="40"/>
  <c r="S28" i="40"/>
  <c r="U21" i="40"/>
  <c r="AB19" i="40"/>
  <c r="S43" i="39"/>
  <c r="U35" i="39"/>
  <c r="F107" i="39"/>
  <c r="G107" i="39" s="1"/>
  <c r="U19" i="39"/>
  <c r="S17" i="39"/>
  <c r="S9" i="39"/>
  <c r="U14" i="39"/>
  <c r="AC13" i="39"/>
  <c r="S23" i="36"/>
  <c r="U13" i="36"/>
  <c r="AC27" i="36"/>
  <c r="AB27" i="36"/>
  <c r="U26" i="36"/>
  <c r="S33" i="36"/>
  <c r="S27" i="36"/>
  <c r="AA26" i="36"/>
  <c r="AA34" i="36"/>
  <c r="S29" i="36"/>
  <c r="AA22" i="36"/>
  <c r="AB14" i="36"/>
  <c r="U22" i="36"/>
  <c r="S16" i="36"/>
  <c r="AA25" i="36"/>
  <c r="S24" i="36"/>
  <c r="U24" i="36"/>
  <c r="U23" i="36"/>
  <c r="U16" i="36"/>
  <c r="U10" i="36"/>
  <c r="W10" i="36"/>
  <c r="AA25" i="35"/>
  <c r="S23" i="35"/>
  <c r="W24" i="35"/>
  <c r="U29" i="35"/>
  <c r="U28" i="35"/>
  <c r="AB27" i="35"/>
  <c r="U36" i="35"/>
  <c r="U32" i="35"/>
  <c r="AA33" i="35"/>
  <c r="AC30" i="35"/>
  <c r="S32" i="35"/>
  <c r="AA36" i="35"/>
  <c r="W32" i="35"/>
  <c r="S28" i="35"/>
  <c r="AB16" i="35"/>
  <c r="U22" i="35"/>
  <c r="S20" i="35"/>
  <c r="AC20" i="35"/>
  <c r="S22" i="35"/>
  <c r="U14" i="35"/>
  <c r="AB10" i="35"/>
  <c r="AA11" i="35"/>
  <c r="S8" i="35"/>
  <c r="AC9" i="35"/>
  <c r="W9" i="35"/>
  <c r="AC12" i="35"/>
  <c r="F9" i="35"/>
  <c r="S9" i="35" s="1"/>
  <c r="H9" i="35"/>
  <c r="F26" i="35"/>
  <c r="J26" i="35"/>
  <c r="W26" i="35" s="1"/>
  <c r="AB40" i="37"/>
  <c r="S26" i="37"/>
  <c r="AC9" i="37"/>
  <c r="AC29" i="37"/>
  <c r="U29" i="37"/>
  <c r="S32" i="37"/>
  <c r="AB31" i="37"/>
  <c r="W30" i="37"/>
  <c r="S36" i="37"/>
  <c r="AA38" i="37"/>
  <c r="U32" i="37"/>
  <c r="AC35" i="37"/>
  <c r="W39" i="37"/>
  <c r="S30" i="37"/>
  <c r="J17" i="37"/>
  <c r="W17" i="37" s="1"/>
  <c r="G73" i="37"/>
  <c r="F17" i="37"/>
  <c r="AA17" i="37"/>
  <c r="AB17" i="37"/>
  <c r="F75" i="37"/>
  <c r="G75" i="37" s="1"/>
  <c r="F19" i="37"/>
  <c r="F79" i="37"/>
  <c r="F23" i="37"/>
  <c r="S23" i="37"/>
  <c r="U23" i="37"/>
  <c r="U15" i="37"/>
  <c r="U9" i="37"/>
  <c r="H10" i="37"/>
  <c r="AB10" i="37" s="1"/>
  <c r="H60" i="37"/>
  <c r="F63" i="37"/>
  <c r="G63" i="37" s="1"/>
  <c r="F11" i="37"/>
  <c r="S11" i="37"/>
  <c r="S27" i="34"/>
  <c r="W25" i="34"/>
  <c r="AB8" i="34"/>
  <c r="AA33" i="34"/>
  <c r="U44" i="34"/>
  <c r="U43" i="34"/>
  <c r="W41" i="34"/>
  <c r="AC42" i="34"/>
  <c r="AB35" i="34"/>
  <c r="U39" i="34"/>
  <c r="S43" i="34"/>
  <c r="W34" i="34"/>
  <c r="AA25" i="34"/>
  <c r="S17" i="34"/>
  <c r="U27" i="34"/>
  <c r="S23" i="34"/>
  <c r="U15" i="34"/>
  <c r="S10" i="34"/>
  <c r="H67" i="34"/>
  <c r="H10" i="34"/>
  <c r="AB10" i="34" s="1"/>
  <c r="F11" i="34"/>
  <c r="S11" i="34"/>
  <c r="F70" i="34"/>
  <c r="W42" i="33"/>
  <c r="S27" i="33"/>
  <c r="S32" i="33"/>
  <c r="AA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W32" i="33" s="1"/>
  <c r="W43" i="33"/>
  <c r="F91"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B8" i="21"/>
  <c r="S8" i="21"/>
  <c r="M8" i="43"/>
  <c r="D120" i="9"/>
  <c r="F34" i="67"/>
  <c r="F62" i="67" s="1"/>
  <c r="M20" i="67"/>
  <c r="F34" i="15"/>
  <c r="F62" i="15" s="1"/>
  <c r="BL17" i="3"/>
  <c r="AZ17" i="3" s="1"/>
  <c r="J56" i="9"/>
  <c r="J57" i="9" s="1"/>
  <c r="J59" i="9" s="1"/>
  <c r="J61" i="9" s="1"/>
  <c r="A24" i="51"/>
  <c r="B18" i="72" s="1"/>
  <c r="G1" i="68"/>
  <c r="K1" i="12"/>
  <c r="E1" i="73"/>
  <c r="G41" i="69"/>
  <c r="G22" i="69"/>
  <c r="G41" i="68"/>
  <c r="G22" i="68"/>
  <c r="G27" i="12"/>
  <c r="G26" i="12"/>
  <c r="G41" i="11"/>
  <c r="G22" i="11"/>
  <c r="G25" i="12"/>
  <c r="C100" i="43"/>
  <c r="E11" i="43"/>
  <c r="E10" i="43"/>
  <c r="E9" i="43"/>
  <c r="E8" i="43"/>
  <c r="C7" i="43" s="1"/>
  <c r="E81" i="43"/>
  <c r="B79" i="43" s="1"/>
  <c r="E48" i="43"/>
  <c r="B46" i="43" s="1"/>
  <c r="E70" i="43"/>
  <c r="B68" i="43" s="1"/>
  <c r="F100" i="43"/>
  <c r="D9" i="53"/>
  <c r="B25" i="72" s="1"/>
  <c r="B24" i="72"/>
  <c r="F33" i="43"/>
  <c r="F34" i="43"/>
  <c r="N6" i="43"/>
  <c r="C6" i="43"/>
  <c r="N3" i="43"/>
  <c r="F38" i="43"/>
  <c r="N5" i="43"/>
  <c r="C7" i="39"/>
  <c r="C68" i="39" s="1"/>
  <c r="C7" i="35"/>
  <c r="C48" i="35" s="1"/>
  <c r="C7" i="33"/>
  <c r="C58" i="33" s="1"/>
  <c r="D58" i="33" s="1"/>
  <c r="C7" i="21"/>
  <c r="C58" i="21" s="1"/>
  <c r="D58" i="21" s="1"/>
  <c r="E58" i="21" s="1"/>
  <c r="C7" i="40"/>
  <c r="C63" i="40" s="1"/>
  <c r="M47" i="9"/>
  <c r="G19" i="43"/>
  <c r="C46" i="36"/>
  <c r="C52" i="37"/>
  <c r="D52" i="37"/>
  <c r="E52" i="37" s="1"/>
  <c r="F52" i="37" s="1"/>
  <c r="G52" i="37" s="1"/>
  <c r="H52" i="37" s="1"/>
  <c r="I52" i="37" s="1"/>
  <c r="D48" i="35"/>
  <c r="E48" i="35" s="1"/>
  <c r="F48" i="35" s="1"/>
  <c r="G48" i="35" s="1"/>
  <c r="H48" i="35" s="1"/>
  <c r="I48" i="35" s="1"/>
  <c r="J48" i="35" s="1"/>
  <c r="C94" i="9"/>
  <c r="C92" i="9"/>
  <c r="H60" i="43"/>
  <c r="B6" i="1"/>
  <c r="E6" i="1" s="1"/>
  <c r="B9" i="1"/>
  <c r="E9" i="1" s="1"/>
  <c r="G1" i="15"/>
  <c r="G1" i="69"/>
  <c r="G1" i="67"/>
  <c r="W23" i="40"/>
  <c r="AB31" i="40"/>
  <c r="S37" i="40"/>
  <c r="AB28" i="40"/>
  <c r="W28" i="40"/>
  <c r="W34" i="40"/>
  <c r="W19" i="40"/>
  <c r="W27" i="40"/>
  <c r="S36" i="40"/>
  <c r="W37" i="40"/>
  <c r="S13" i="40"/>
  <c r="S33" i="40"/>
  <c r="AA15" i="40"/>
  <c r="U11" i="40"/>
  <c r="S31" i="40"/>
  <c r="AB13" i="40"/>
  <c r="U15" i="40"/>
  <c r="AB17" i="40"/>
  <c r="U8" i="40"/>
  <c r="S8" i="40"/>
  <c r="U42" i="39"/>
  <c r="AB23" i="39"/>
  <c r="U13" i="39"/>
  <c r="S14" i="39"/>
  <c r="W17" i="39"/>
  <c r="AC17" i="39"/>
  <c r="S23" i="39"/>
  <c r="W34" i="39"/>
  <c r="S8" i="39"/>
  <c r="S20" i="36"/>
  <c r="S28" i="36"/>
  <c r="W29" i="36"/>
  <c r="AC20" i="36"/>
  <c r="U25" i="36"/>
  <c r="AA13" i="36"/>
  <c r="W22" i="36"/>
  <c r="W23" i="36"/>
  <c r="AC25" i="35"/>
  <c r="S24" i="35"/>
  <c r="W33" i="35"/>
  <c r="AA30" i="35"/>
  <c r="S35" i="35"/>
  <c r="AA16" i="35"/>
  <c r="AA35" i="37"/>
  <c r="W36" i="37"/>
  <c r="S28" i="37"/>
  <c r="U36" i="37"/>
  <c r="U38" i="37"/>
  <c r="S33" i="37"/>
  <c r="AC34" i="37"/>
  <c r="AB35" i="37"/>
  <c r="AA11" i="37"/>
  <c r="AA31" i="37"/>
  <c r="U19" i="37"/>
  <c r="AA29" i="37"/>
  <c r="AA8" i="37"/>
  <c r="U8" i="37"/>
  <c r="AA40" i="34"/>
  <c r="AB40" i="34"/>
  <c r="W19" i="34"/>
  <c r="AB33" i="34"/>
  <c r="AC45" i="34"/>
  <c r="AA30" i="34"/>
  <c r="AB47" i="34"/>
  <c r="U25" i="34"/>
  <c r="AB36" i="34"/>
  <c r="AC14" i="34"/>
  <c r="AC29" i="34"/>
  <c r="W46" i="34"/>
  <c r="AC46" i="34"/>
  <c r="S32" i="34"/>
  <c r="AA32" i="34"/>
  <c r="U30" i="34"/>
  <c r="AB30" i="34"/>
  <c r="S37" i="34"/>
  <c r="U38" i="34"/>
  <c r="AC40" i="34"/>
  <c r="W40" i="34"/>
  <c r="AA19" i="34"/>
  <c r="S19" i="34"/>
  <c r="AA36" i="34"/>
  <c r="S36" i="34"/>
  <c r="AA8" i="34"/>
  <c r="S8" i="34"/>
  <c r="AB9" i="34"/>
  <c r="U9" i="34"/>
  <c r="S46" i="34"/>
  <c r="U32" i="34"/>
  <c r="U14" i="34"/>
  <c r="AC43" i="34"/>
  <c r="W43" i="34"/>
  <c r="AA11" i="34"/>
  <c r="W23" i="34"/>
  <c r="AC23" i="34"/>
  <c r="AC35" i="34"/>
  <c r="W35" i="34"/>
  <c r="U12" i="34"/>
  <c r="AB12" i="34"/>
  <c r="U39" i="33"/>
  <c r="U38" i="33"/>
  <c r="S33" i="33"/>
  <c r="AB34" i="33"/>
  <c r="U44" i="33"/>
  <c r="S30" i="33"/>
  <c r="AC14" i="33"/>
  <c r="S31" i="33"/>
  <c r="AA31" i="33"/>
  <c r="W13" i="33"/>
  <c r="AC13" i="33"/>
  <c r="U15" i="33"/>
  <c r="S11" i="33"/>
  <c r="U37" i="33"/>
  <c r="W8" i="33"/>
  <c r="AB42" i="21"/>
  <c r="AA11" i="21"/>
  <c r="I101" i="21"/>
  <c r="J101" i="21" s="1"/>
  <c r="K101" i="21" s="1"/>
  <c r="L101" i="21" s="1"/>
  <c r="M101" i="21" s="1"/>
  <c r="F33" i="21"/>
  <c r="S33" i="21" s="1"/>
  <c r="J33" i="21"/>
  <c r="H33" i="21"/>
  <c r="AB33" i="21" s="1"/>
  <c r="F37" i="21"/>
  <c r="AA26" i="21"/>
  <c r="AB14" i="21"/>
  <c r="AB46" i="21"/>
  <c r="U40" i="21"/>
  <c r="AB31" i="21"/>
  <c r="U31" i="21"/>
  <c r="AC15" i="21"/>
  <c r="U13" i="21"/>
  <c r="AB13" i="21"/>
  <c r="W8" i="21"/>
  <c r="S35" i="21"/>
  <c r="J37" i="21"/>
  <c r="H15" i="21"/>
  <c r="J17" i="21"/>
  <c r="AC19" i="21"/>
  <c r="W39" i="21"/>
  <c r="AC14" i="21"/>
  <c r="W30" i="21"/>
  <c r="S46" i="21"/>
  <c r="H45" i="21"/>
  <c r="U45" i="21" s="1"/>
  <c r="F29" i="21"/>
  <c r="F13" i="21"/>
  <c r="AA13" i="21" s="1"/>
  <c r="AC38" i="21"/>
  <c r="H32" i="21"/>
  <c r="AB32" i="21" s="1"/>
  <c r="H9" i="21"/>
  <c r="AB9" i="21" s="1"/>
  <c r="J9" i="21"/>
  <c r="W9" i="21" s="1"/>
  <c r="J32" i="21"/>
  <c r="W32" i="21" s="1"/>
  <c r="F32" i="21"/>
  <c r="AA32" i="21" s="1"/>
  <c r="AA31" i="21"/>
  <c r="W29" i="21"/>
  <c r="S19" i="21"/>
  <c r="S9" i="21"/>
  <c r="K141" i="21"/>
  <c r="K143" i="21"/>
  <c r="U27" i="21"/>
  <c r="AB25" i="21"/>
  <c r="AA30" i="21"/>
  <c r="W42" i="21"/>
  <c r="F10" i="21"/>
  <c r="S10" i="21" s="1"/>
  <c r="W25" i="21"/>
  <c r="W31" i="21"/>
  <c r="S17" i="21"/>
  <c r="AA15" i="21"/>
  <c r="AC27" i="21"/>
  <c r="AC26" i="21"/>
  <c r="AB29" i="21"/>
  <c r="S28" i="21"/>
  <c r="AC34" i="21"/>
  <c r="W10" i="21"/>
  <c r="AB36" i="21"/>
  <c r="W30" i="40"/>
  <c r="C19" i="39"/>
  <c r="C15" i="40"/>
  <c r="C17" i="40"/>
  <c r="C23" i="40"/>
  <c r="C21" i="40"/>
  <c r="B54" i="43"/>
  <c r="B65" i="43"/>
  <c r="B49" i="43"/>
  <c r="B56" i="43"/>
  <c r="B60" i="43"/>
  <c r="B63" i="43"/>
  <c r="B67" i="43"/>
  <c r="D23" i="15"/>
  <c r="D22" i="15"/>
  <c r="E7" i="70"/>
  <c r="AA39" i="40"/>
  <c r="S39" i="40"/>
  <c r="S12" i="33"/>
  <c r="AA12" i="33"/>
  <c r="U9" i="35"/>
  <c r="AB9" i="35"/>
  <c r="AA9" i="35"/>
  <c r="AC26" i="35"/>
  <c r="AB26" i="35"/>
  <c r="AC17" i="37"/>
  <c r="S17" i="37"/>
  <c r="J19" i="37"/>
  <c r="AC19" i="37" s="1"/>
  <c r="S19" i="37"/>
  <c r="AA19" i="37"/>
  <c r="AA23" i="37"/>
  <c r="J23" i="37"/>
  <c r="G79" i="37"/>
  <c r="J10" i="37"/>
  <c r="I60" i="37"/>
  <c r="H11" i="37"/>
  <c r="U11" i="37" s="1"/>
  <c r="U10" i="37"/>
  <c r="G70" i="34"/>
  <c r="H11" i="34"/>
  <c r="U11" i="34" s="1"/>
  <c r="J10" i="34"/>
  <c r="AC10" i="34" s="1"/>
  <c r="I67" i="34"/>
  <c r="AB41" i="33"/>
  <c r="U41" i="33"/>
  <c r="W35" i="33"/>
  <c r="AC35" i="33"/>
  <c r="H111" i="33"/>
  <c r="I111" i="33" s="1"/>
  <c r="J111" i="33" s="1"/>
  <c r="K111" i="33" s="1"/>
  <c r="L111" i="33" s="1"/>
  <c r="M111" i="33" s="1"/>
  <c r="J36" i="33"/>
  <c r="W36" i="33" s="1"/>
  <c r="H36" i="33"/>
  <c r="AB36" i="33" s="1"/>
  <c r="S36" i="33"/>
  <c r="AA36" i="33"/>
  <c r="AC32" i="33"/>
  <c r="U27" i="33"/>
  <c r="AB27" i="33"/>
  <c r="G91" i="33"/>
  <c r="H91" i="33" s="1"/>
  <c r="I91" i="33" s="1"/>
  <c r="J91" i="33" s="1"/>
  <c r="K91" i="33" s="1"/>
  <c r="L91" i="33" s="1"/>
  <c r="M91" i="33" s="1"/>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AA23" i="21"/>
  <c r="J23" i="21"/>
  <c r="W23" i="21" s="1"/>
  <c r="F85" i="21"/>
  <c r="G85" i="21" s="1"/>
  <c r="H23" i="21"/>
  <c r="AB23" i="21" s="1"/>
  <c r="S13" i="21"/>
  <c r="D6" i="52"/>
  <c r="D121" i="9"/>
  <c r="D7" i="52" s="1"/>
  <c r="K120" i="9"/>
  <c r="A18" i="62" s="1"/>
  <c r="B64" i="72" s="1"/>
  <c r="R22" i="31"/>
  <c r="B21" i="31" s="1"/>
  <c r="O19" i="43"/>
  <c r="F58" i="21"/>
  <c r="G58" i="21" s="1"/>
  <c r="H58" i="21" s="1"/>
  <c r="AB45" i="21"/>
  <c r="AC33" i="21"/>
  <c r="W33" i="21"/>
  <c r="AA33" i="21"/>
  <c r="AC32" i="21"/>
  <c r="U9" i="21"/>
  <c r="S32" i="21"/>
  <c r="AC9" i="21"/>
  <c r="U32" i="21"/>
  <c r="AA10" i="21"/>
  <c r="E6" i="70"/>
  <c r="W19" i="37"/>
  <c r="W23" i="37"/>
  <c r="AC23" i="37"/>
  <c r="H63" i="37"/>
  <c r="I63" i="37" s="1"/>
  <c r="J63" i="37" s="1"/>
  <c r="K63" i="37" s="1"/>
  <c r="L63" i="37" s="1"/>
  <c r="M63" i="37" s="1"/>
  <c r="J11" i="37"/>
  <c r="W10" i="37"/>
  <c r="AC10" i="37"/>
  <c r="AB11" i="34"/>
  <c r="W10" i="34"/>
  <c r="H70" i="34"/>
  <c r="I70" i="34"/>
  <c r="J70" i="34" s="1"/>
  <c r="K70" i="34" s="1"/>
  <c r="L70" i="34" s="1"/>
  <c r="M70" i="34" s="1"/>
  <c r="J11" i="34"/>
  <c r="AC36" i="33"/>
  <c r="U36" i="33"/>
  <c r="W25" i="33"/>
  <c r="AA23" i="33"/>
  <c r="S23" i="33"/>
  <c r="U17" i="33"/>
  <c r="AB17" i="33"/>
  <c r="AC23" i="21"/>
  <c r="F1" i="67"/>
  <c r="Q52" i="67"/>
  <c r="AC11" i="37"/>
  <c r="W11" i="37"/>
  <c r="W11" i="34"/>
  <c r="AC11" i="34"/>
  <c r="AE7" i="1"/>
  <c r="AE6" i="1"/>
  <c r="AG6" i="1"/>
  <c r="H109" i="9"/>
  <c r="H110" i="9"/>
  <c r="D18" i="53" s="1"/>
  <c r="B35" i="72" s="1"/>
  <c r="D16" i="53"/>
  <c r="B34" i="72" s="1"/>
  <c r="H111" i="9"/>
  <c r="D126" i="9" s="1"/>
  <c r="I14" i="74" s="1"/>
  <c r="B8" i="74" s="1"/>
  <c r="D59" i="9"/>
  <c r="M55" i="9" s="1"/>
  <c r="AD3" i="71"/>
  <c r="P21" i="43" s="1"/>
  <c r="F31" i="15"/>
  <c r="F36" i="15"/>
  <c r="F20" i="31"/>
  <c r="M23" i="67"/>
  <c r="F16" i="67"/>
  <c r="F38" i="15"/>
  <c r="F26" i="15"/>
  <c r="M6" i="67"/>
  <c r="F43" i="15"/>
  <c r="D2" i="35"/>
  <c r="F6" i="15"/>
  <c r="D2" i="36"/>
  <c r="F42" i="67"/>
  <c r="M28" i="67"/>
  <c r="M21" i="67"/>
  <c r="M26" i="67"/>
  <c r="J15" i="15"/>
  <c r="F43" i="67"/>
  <c r="M24" i="15"/>
  <c r="M27" i="15"/>
  <c r="B10" i="76"/>
  <c r="F37" i="67"/>
  <c r="L48" i="15"/>
  <c r="F5" i="73"/>
  <c r="M9" i="15"/>
  <c r="F13" i="67"/>
  <c r="F7" i="73"/>
  <c r="M27" i="67"/>
  <c r="AO13" i="1"/>
  <c r="E13" i="76"/>
  <c r="M23" i="15"/>
  <c r="AO7" i="1"/>
  <c r="F26" i="67"/>
  <c r="M9" i="67"/>
  <c r="F16" i="15"/>
  <c r="M6" i="15"/>
  <c r="F9" i="15"/>
  <c r="L47" i="67"/>
  <c r="F42" i="15"/>
  <c r="M28" i="15"/>
  <c r="F40" i="67"/>
  <c r="F37" i="15"/>
  <c r="F35" i="67"/>
  <c r="F4" i="73"/>
  <c r="F6" i="73"/>
  <c r="F7" i="15"/>
  <c r="B7" i="76"/>
  <c r="M22" i="15"/>
  <c r="B11" i="76"/>
  <c r="E2" i="69"/>
  <c r="AO6" i="1"/>
  <c r="F7" i="67"/>
  <c r="F36" i="67"/>
  <c r="E11" i="76"/>
  <c r="E8" i="76"/>
  <c r="B8" i="76"/>
  <c r="C76" i="67"/>
  <c r="AO12" i="1"/>
  <c r="F8" i="67"/>
  <c r="J15" i="67"/>
  <c r="E7" i="76"/>
  <c r="M29" i="67"/>
  <c r="M8" i="15"/>
  <c r="F13" i="15"/>
  <c r="C76" i="15"/>
  <c r="F8" i="15"/>
  <c r="F6" i="67"/>
  <c r="F38" i="67"/>
  <c r="F40" i="15"/>
  <c r="D2" i="21"/>
  <c r="L47" i="15"/>
  <c r="M22" i="67"/>
  <c r="M8" i="67"/>
  <c r="E12" i="76"/>
  <c r="M24" i="67"/>
  <c r="M26" i="15"/>
  <c r="D2" i="34"/>
  <c r="E9" i="76"/>
  <c r="F3" i="73"/>
  <c r="B9" i="76"/>
  <c r="M29" i="15"/>
  <c r="B12" i="76"/>
  <c r="F9" i="67"/>
  <c r="F41" i="67"/>
  <c r="B13" i="76"/>
  <c r="E10" i="76"/>
  <c r="E2" i="68"/>
  <c r="L48" i="67"/>
  <c r="D2" i="33"/>
  <c r="D2" i="37"/>
  <c r="BA14" i="3" l="1"/>
  <c r="AZ14" i="3" s="1"/>
  <c r="S27" i="40"/>
  <c r="AA27" i="40"/>
  <c r="U27" i="40"/>
  <c r="AB27" i="40"/>
  <c r="U20" i="35"/>
  <c r="AB20" i="35"/>
  <c r="U20" i="36"/>
  <c r="AB20" i="36"/>
  <c r="H73" i="43"/>
  <c r="H72" i="43"/>
  <c r="H83" i="43"/>
  <c r="H81" i="43"/>
  <c r="H66" i="43"/>
  <c r="H61" i="43"/>
  <c r="H59" i="43"/>
  <c r="W12" i="37"/>
  <c r="AC12" i="37"/>
  <c r="U37" i="21"/>
  <c r="AB37" i="21"/>
  <c r="AB32" i="40"/>
  <c r="U32" i="40"/>
  <c r="AA37" i="37"/>
  <c r="S37" i="37"/>
  <c r="AC32" i="37"/>
  <c r="W32" i="37"/>
  <c r="AB24" i="35"/>
  <c r="U24" i="35"/>
  <c r="U41" i="34"/>
  <c r="AB41" i="34"/>
  <c r="AA14" i="36"/>
  <c r="S14" i="36"/>
  <c r="AZ571" i="3"/>
  <c r="AZ575" i="3"/>
  <c r="AB17" i="21"/>
  <c r="U17" i="21"/>
  <c r="U33" i="40"/>
  <c r="AB33" i="40"/>
  <c r="AB30" i="40"/>
  <c r="U30" i="40"/>
  <c r="S13" i="37"/>
  <c r="AA13" i="37"/>
  <c r="AC47" i="34"/>
  <c r="W47" i="34"/>
  <c r="U14" i="33"/>
  <c r="AB14" i="33"/>
  <c r="AA40" i="37"/>
  <c r="S40" i="37"/>
  <c r="U44" i="21"/>
  <c r="AB44" i="21"/>
  <c r="AC9" i="33"/>
  <c r="W9" i="33"/>
  <c r="AB28" i="33"/>
  <c r="U28" i="33"/>
  <c r="AB31" i="34"/>
  <c r="U31" i="34"/>
  <c r="U45" i="34"/>
  <c r="AB45" i="34"/>
  <c r="AC35" i="35"/>
  <c r="W35" i="35"/>
  <c r="AC9" i="36"/>
  <c r="W9" i="36"/>
  <c r="AB13" i="37"/>
  <c r="U13" i="37"/>
  <c r="K144" i="21"/>
  <c r="K145" i="21"/>
  <c r="U23" i="21"/>
  <c r="S29" i="21"/>
  <c r="AA29" i="21"/>
  <c r="AA26" i="35"/>
  <c r="S26" i="35"/>
  <c r="P22" i="43"/>
  <c r="D19" i="53"/>
  <c r="AA17" i="33"/>
  <c r="W27" i="33"/>
  <c r="U33" i="21"/>
  <c r="U10" i="34"/>
  <c r="AC37" i="33"/>
  <c r="H67" i="43"/>
  <c r="H62" i="43"/>
  <c r="D68" i="39"/>
  <c r="C70" i="39"/>
  <c r="H70" i="43"/>
  <c r="AA12" i="37"/>
  <c r="AC15" i="37"/>
  <c r="AA10" i="35"/>
  <c r="S30" i="40"/>
  <c r="AC33" i="34"/>
  <c r="W33" i="34"/>
  <c r="H74" i="43"/>
  <c r="W39" i="34"/>
  <c r="AC39" i="34"/>
  <c r="S35" i="33"/>
  <c r="AA35" i="33"/>
  <c r="AZ362" i="3"/>
  <c r="AZ327" i="3"/>
  <c r="AB12" i="37"/>
  <c r="U12" i="37"/>
  <c r="S9" i="37"/>
  <c r="AA9" i="37"/>
  <c r="AB19" i="34"/>
  <c r="U19" i="34"/>
  <c r="AA43" i="33"/>
  <c r="S43" i="33"/>
  <c r="AZ527" i="3"/>
  <c r="AZ543" i="3"/>
  <c r="AZ559" i="3"/>
  <c r="AA14" i="37"/>
  <c r="W14" i="40"/>
  <c r="AC14" i="40"/>
  <c r="S12" i="40"/>
  <c r="AA12" i="40"/>
  <c r="AC38" i="37"/>
  <c r="W38" i="37"/>
  <c r="U28" i="37"/>
  <c r="AB28" i="37"/>
  <c r="W25" i="36"/>
  <c r="AC25" i="36"/>
  <c r="AB25" i="35"/>
  <c r="U25" i="35"/>
  <c r="AC13" i="35"/>
  <c r="W13" i="35"/>
  <c r="S31" i="34"/>
  <c r="AA31" i="34"/>
  <c r="S29" i="34"/>
  <c r="AA29" i="34"/>
  <c r="S14" i="33"/>
  <c r="AA14" i="33"/>
  <c r="AC40" i="37"/>
  <c r="W40" i="37"/>
  <c r="U37" i="37"/>
  <c r="AB37" i="37"/>
  <c r="W45" i="21"/>
  <c r="AC45" i="21"/>
  <c r="AA28" i="34"/>
  <c r="S28" i="34"/>
  <c r="U25" i="37"/>
  <c r="AB25" i="37"/>
  <c r="AB31" i="39"/>
  <c r="U31" i="39"/>
  <c r="AC31" i="40"/>
  <c r="W31" i="40"/>
  <c r="AA35" i="39"/>
  <c r="S35" i="39"/>
  <c r="BL550" i="3"/>
  <c r="BA550" i="3"/>
  <c r="M20" i="15"/>
  <c r="F34" i="80"/>
  <c r="F62" i="80" s="1"/>
  <c r="F34" i="79"/>
  <c r="F62" i="79" s="1"/>
  <c r="F34" i="78"/>
  <c r="F62" i="78" s="1"/>
  <c r="M20" i="80"/>
  <c r="M20" i="79"/>
  <c r="M20" i="78"/>
  <c r="F7" i="1"/>
  <c r="F11" i="1"/>
  <c r="F12" i="1"/>
  <c r="AZ403" i="3"/>
  <c r="AZ418" i="3"/>
  <c r="AZ422" i="3"/>
  <c r="AZ434" i="3"/>
  <c r="BL440" i="3"/>
  <c r="AZ443" i="3"/>
  <c r="BL443" i="3"/>
  <c r="BA444" i="3"/>
  <c r="AZ444" i="3" s="1"/>
  <c r="U28" i="21"/>
  <c r="S44" i="21"/>
  <c r="AC32" i="34"/>
  <c r="AB28" i="36"/>
  <c r="U32" i="36"/>
  <c r="AA14" i="21"/>
  <c r="AB29" i="33"/>
  <c r="AC10" i="35"/>
  <c r="W14" i="36"/>
  <c r="AC26" i="36"/>
  <c r="AC17" i="40"/>
  <c r="S17" i="40"/>
  <c r="F53" i="9"/>
  <c r="F32" i="80"/>
  <c r="F60" i="80" s="1"/>
  <c r="F28" i="80"/>
  <c r="C28" i="80" s="1"/>
  <c r="M18" i="80"/>
  <c r="F32" i="79"/>
  <c r="F60" i="79" s="1"/>
  <c r="F28" i="79"/>
  <c r="C28" i="79" s="1"/>
  <c r="M18" i="79"/>
  <c r="F32" i="78"/>
  <c r="F60" i="78" s="1"/>
  <c r="F28" i="78"/>
  <c r="C28" i="78" s="1"/>
  <c r="M18" i="78"/>
  <c r="AC21" i="40"/>
  <c r="AC17" i="34"/>
  <c r="W37" i="37"/>
  <c r="U10" i="21"/>
  <c r="S14" i="35"/>
  <c r="U36" i="40"/>
  <c r="G28" i="6"/>
  <c r="AZ387" i="3"/>
  <c r="AZ369" i="3"/>
  <c r="AZ382" i="3"/>
  <c r="AZ371" i="3"/>
  <c r="AZ364" i="3"/>
  <c r="AZ361" i="3"/>
  <c r="AZ356" i="3"/>
  <c r="AZ342" i="3"/>
  <c r="AZ336" i="3"/>
  <c r="AZ321" i="3"/>
  <c r="AZ304" i="3"/>
  <c r="AZ394" i="3"/>
  <c r="AZ325" i="3"/>
  <c r="S42" i="21"/>
  <c r="U26" i="21"/>
  <c r="AC31" i="33"/>
  <c r="AC36" i="34"/>
  <c r="U39" i="37"/>
  <c r="AC32" i="36"/>
  <c r="H28" i="34"/>
  <c r="U32" i="33"/>
  <c r="S21" i="40"/>
  <c r="AZ503" i="3"/>
  <c r="AZ523" i="3"/>
  <c r="AZ531" i="3"/>
  <c r="AZ539" i="3"/>
  <c r="AZ547" i="3"/>
  <c r="AZ553" i="3"/>
  <c r="AZ583" i="3"/>
  <c r="AZ581" i="3"/>
  <c r="AZ526" i="3"/>
  <c r="AZ566" i="3"/>
  <c r="AZ574" i="3"/>
  <c r="AZ582" i="3"/>
  <c r="AZ584" i="3"/>
  <c r="W35" i="39"/>
  <c r="AC28" i="21"/>
  <c r="W29" i="33"/>
  <c r="S45" i="33"/>
  <c r="AC30" i="34"/>
  <c r="W11" i="35"/>
  <c r="S11" i="36"/>
  <c r="AB11" i="36"/>
  <c r="J27" i="37"/>
  <c r="F14" i="40"/>
  <c r="F27" i="37"/>
  <c r="H12" i="40"/>
  <c r="H43" i="39"/>
  <c r="J13" i="37"/>
  <c r="H35" i="35"/>
  <c r="H13" i="35"/>
  <c r="F45" i="34"/>
  <c r="H29" i="34"/>
  <c r="F13" i="34"/>
  <c r="J13" i="34"/>
  <c r="H46" i="33"/>
  <c r="F46" i="33"/>
  <c r="F44" i="33"/>
  <c r="J30" i="33"/>
  <c r="F45" i="21"/>
  <c r="F27" i="21"/>
  <c r="J13" i="21"/>
  <c r="J28" i="33"/>
  <c r="F28" i="33"/>
  <c r="H26" i="33"/>
  <c r="AC38" i="34"/>
  <c r="S8" i="33"/>
  <c r="S26" i="33"/>
  <c r="J28" i="34"/>
  <c r="W30" i="36"/>
  <c r="AB12" i="36"/>
  <c r="AA12" i="34"/>
  <c r="C15" i="39"/>
  <c r="J31" i="39"/>
  <c r="AC31" i="39" s="1"/>
  <c r="H39" i="39"/>
  <c r="U39" i="39" s="1"/>
  <c r="U40" i="40"/>
  <c r="U34" i="40"/>
  <c r="S40" i="40"/>
  <c r="U9" i="40"/>
  <c r="AA9" i="40"/>
  <c r="W8" i="40"/>
  <c r="S40" i="33"/>
  <c r="U34" i="34"/>
  <c r="S34" i="35"/>
  <c r="S30" i="36"/>
  <c r="U9" i="36"/>
  <c r="W8" i="36"/>
  <c r="F39" i="37"/>
  <c r="J44" i="39"/>
  <c r="F45" i="39"/>
  <c r="BL586" i="3"/>
  <c r="AZ586" i="3" s="1"/>
  <c r="F9" i="33"/>
  <c r="H12" i="33"/>
  <c r="F9" i="36"/>
  <c r="F25" i="37"/>
  <c r="J25" i="37"/>
  <c r="F44" i="39"/>
  <c r="G578" i="3"/>
  <c r="G562" i="3"/>
  <c r="BA551" i="3"/>
  <c r="AZ551" i="3" s="1"/>
  <c r="BL548" i="3"/>
  <c r="AZ548" i="3" s="1"/>
  <c r="AC5" i="3"/>
  <c r="BP5" i="3"/>
  <c r="BA398" i="3"/>
  <c r="AZ398" i="3" s="1"/>
  <c r="G401" i="3"/>
  <c r="G402" i="3"/>
  <c r="G406" i="3"/>
  <c r="G408" i="3"/>
  <c r="G409" i="3"/>
  <c r="BL409" i="3"/>
  <c r="BA410" i="3"/>
  <c r="AZ410" i="3" s="1"/>
  <c r="BL412" i="3"/>
  <c r="AZ412" i="3" s="1"/>
  <c r="BA413" i="3"/>
  <c r="AZ413" i="3" s="1"/>
  <c r="G416" i="3"/>
  <c r="BL416" i="3"/>
  <c r="AZ416" i="3" s="1"/>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AZ440" i="3"/>
  <c r="BL441" i="3"/>
  <c r="AZ441" i="3" s="1"/>
  <c r="AZ442" i="3"/>
  <c r="G447" i="3"/>
  <c r="BL447" i="3"/>
  <c r="AZ447" i="3" s="1"/>
  <c r="BA448" i="3"/>
  <c r="AZ448" i="3" s="1"/>
  <c r="BA451" i="3"/>
  <c r="BL451" i="3"/>
  <c r="BA452" i="3"/>
  <c r="AZ452" i="3" s="1"/>
  <c r="G457" i="3"/>
  <c r="G458" i="3"/>
  <c r="G462" i="3"/>
  <c r="G464" i="3"/>
  <c r="BL464" i="3"/>
  <c r="BA466" i="3"/>
  <c r="AZ466" i="3" s="1"/>
  <c r="BA468" i="3"/>
  <c r="AZ468" i="3" s="1"/>
  <c r="BA469" i="3"/>
  <c r="BL469" i="3"/>
  <c r="G471" i="3"/>
  <c r="BL471" i="3"/>
  <c r="G473" i="3"/>
  <c r="G474" i="3"/>
  <c r="BL474" i="3"/>
  <c r="G476" i="3"/>
  <c r="BL476" i="3"/>
  <c r="G478" i="3"/>
  <c r="BL478" i="3"/>
  <c r="G480" i="3"/>
  <c r="BL480" i="3"/>
  <c r="G482" i="3"/>
  <c r="BL482" i="3"/>
  <c r="G484" i="3"/>
  <c r="BL484" i="3"/>
  <c r="G486" i="3"/>
  <c r="BL486" i="3"/>
  <c r="G488" i="3"/>
  <c r="BL488" i="3"/>
  <c r="G490" i="3"/>
  <c r="G491" i="3"/>
  <c r="G492" i="3"/>
  <c r="BL492" i="3"/>
  <c r="G307" i="3"/>
  <c r="BL308" i="3"/>
  <c r="AZ308" i="3" s="1"/>
  <c r="BL314" i="3"/>
  <c r="AZ314" i="3" s="1"/>
  <c r="BL317" i="3"/>
  <c r="AZ317" i="3" s="1"/>
  <c r="G323" i="3"/>
  <c r="BL324" i="3"/>
  <c r="AZ324" i="3" s="1"/>
  <c r="AZ464" i="3"/>
  <c r="G12" i="1"/>
  <c r="J51" i="80"/>
  <c r="J51" i="78"/>
  <c r="J51" i="79"/>
  <c r="D108" i="43"/>
  <c r="D100" i="43"/>
  <c r="D24" i="67"/>
  <c r="D22" i="67"/>
  <c r="C21" i="68"/>
  <c r="C40" i="68"/>
  <c r="W21" i="34"/>
  <c r="AC21" i="34"/>
  <c r="C16" i="71"/>
  <c r="D15" i="71"/>
  <c r="C43" i="71"/>
  <c r="D42" i="71"/>
  <c r="BL330" i="3"/>
  <c r="AZ330"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BA212" i="3"/>
  <c r="AZ212" i="3" s="1"/>
  <c r="BA213" i="3"/>
  <c r="AZ213" i="3" s="1"/>
  <c r="BA214" i="3"/>
  <c r="AZ214" i="3" s="1"/>
  <c r="BA215" i="3"/>
  <c r="AZ215" i="3" s="1"/>
  <c r="G218" i="3"/>
  <c r="BA219" i="3"/>
  <c r="AZ219"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M108" i="43"/>
  <c r="M100" i="43"/>
  <c r="I108" i="43"/>
  <c r="I100" i="43"/>
  <c r="E108" i="43"/>
  <c r="E100" i="43"/>
  <c r="AC21" i="21"/>
  <c r="AB21" i="21"/>
  <c r="C20" i="71"/>
  <c r="D19" i="71"/>
  <c r="C31" i="71"/>
  <c r="D31" i="71" s="1"/>
  <c r="D30" i="71"/>
  <c r="P50" i="71"/>
  <c r="D35" i="71"/>
  <c r="C62" i="71"/>
  <c r="D62" i="71" s="1"/>
  <c r="C58" i="71"/>
  <c r="D58" i="71" s="1"/>
  <c r="O51" i="71"/>
  <c r="AA10" i="71"/>
  <c r="D18" i="71"/>
  <c r="X10" i="71"/>
  <c r="Y12" i="71"/>
  <c r="Z12" i="71" s="1"/>
  <c r="Y10" i="71"/>
  <c r="Z10" i="71" s="1"/>
  <c r="Y3" i="71"/>
  <c r="Z3" i="71" s="1"/>
  <c r="AA16" i="71"/>
  <c r="AA14" i="71"/>
  <c r="Y13" i="71"/>
  <c r="Z13" i="71" s="1"/>
  <c r="X13" i="71"/>
  <c r="F15" i="71"/>
  <c r="F16" i="71" s="1"/>
  <c r="V16" i="71" s="1"/>
  <c r="F19" i="71"/>
  <c r="F20" i="71" s="1"/>
  <c r="V20" i="71" s="1"/>
  <c r="AA18" i="71"/>
  <c r="AA19" i="71"/>
  <c r="F23" i="71"/>
  <c r="F24" i="71" s="1"/>
  <c r="V24" i="71" s="1"/>
  <c r="B39" i="71"/>
  <c r="B40" i="71" s="1"/>
  <c r="S40" i="71" s="1"/>
  <c r="AE10" i="43"/>
  <c r="J1" i="73"/>
  <c r="P74" i="67"/>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F3" i="35"/>
  <c r="G1" i="79"/>
  <c r="G1" i="80"/>
  <c r="G1" i="78"/>
  <c r="G11" i="1"/>
  <c r="J51" i="15"/>
  <c r="I10" i="66"/>
  <c r="C25" i="40"/>
  <c r="E19" i="69"/>
  <c r="E19" i="68"/>
  <c r="G14" i="3"/>
  <c r="H5" i="3"/>
  <c r="K692" i="83"/>
  <c r="L692" i="83" s="1"/>
  <c r="K689" i="83"/>
  <c r="L689" i="83" s="1"/>
  <c r="J728" i="83"/>
  <c r="J720" i="83"/>
  <c r="J719" i="83"/>
  <c r="J718" i="83"/>
  <c r="J717" i="83"/>
  <c r="M716" i="83"/>
  <c r="K716" i="83"/>
  <c r="L716" i="83" s="1"/>
  <c r="K690" i="83"/>
  <c r="L690" i="83" s="1"/>
  <c r="M688" i="83"/>
  <c r="L691" i="83"/>
  <c r="K691" i="83"/>
  <c r="C7" i="12"/>
  <c r="C8" i="12" s="1"/>
  <c r="BH5" i="3"/>
  <c r="BD5" i="3"/>
  <c r="BB5" i="3"/>
  <c r="E5" i="6" s="1"/>
  <c r="BN5" i="3"/>
  <c r="G29" i="6" s="1"/>
  <c r="BQ5" i="3"/>
  <c r="F28" i="6" s="1"/>
  <c r="BI5" i="3"/>
  <c r="BG5" i="3"/>
  <c r="BE5" i="3"/>
  <c r="BC5" i="3"/>
  <c r="BM5" i="3"/>
  <c r="F29" i="6" s="1"/>
  <c r="E28" i="6"/>
  <c r="N76" i="77"/>
  <c r="O76" i="77" s="1"/>
  <c r="O89" i="77" s="1"/>
  <c r="N6" i="1" s="1"/>
  <c r="K7" i="1"/>
  <c r="M7" i="1" s="1"/>
  <c r="BL13" i="3"/>
  <c r="BL5" i="3" s="1"/>
  <c r="AC38" i="39"/>
  <c r="E7" i="12"/>
  <c r="BA13" i="3"/>
  <c r="BA5" i="3" s="1"/>
  <c r="M6" i="1"/>
  <c r="AP6" i="1"/>
  <c r="U38" i="39"/>
  <c r="E32" i="6"/>
  <c r="F31" i="67"/>
  <c r="AP8" i="1"/>
  <c r="M9" i="1"/>
  <c r="K11" i="1"/>
  <c r="M10" i="1"/>
  <c r="U40" i="39"/>
  <c r="W40" i="39"/>
  <c r="AB39" i="39"/>
  <c r="F32" i="39"/>
  <c r="H107" i="39"/>
  <c r="I107" i="39" s="1"/>
  <c r="J107" i="39" s="1"/>
  <c r="K107" i="39" s="1"/>
  <c r="L107" i="39" s="1"/>
  <c r="M107" i="39" s="1"/>
  <c r="H32" i="39"/>
  <c r="AB32" i="39" s="1"/>
  <c r="J32" i="39"/>
  <c r="AC32" i="39" s="1"/>
  <c r="S38" i="39"/>
  <c r="S37" i="39"/>
  <c r="U37" i="39"/>
  <c r="S42" i="39"/>
  <c r="W42" i="39"/>
  <c r="AC41" i="39"/>
  <c r="AB41" i="39"/>
  <c r="AA41" i="39"/>
  <c r="AA39" i="39"/>
  <c r="W39" i="39"/>
  <c r="B52" i="43"/>
  <c r="W31" i="39"/>
  <c r="S31" i="39"/>
  <c r="S29" i="39"/>
  <c r="U27" i="39"/>
  <c r="AB27" i="39"/>
  <c r="W27" i="39"/>
  <c r="F27" i="39"/>
  <c r="AA27" i="39" s="1"/>
  <c r="F99" i="39"/>
  <c r="G99" i="39" s="1"/>
  <c r="H25" i="39"/>
  <c r="AB25" i="39" s="1"/>
  <c r="F25" i="39"/>
  <c r="J25" i="39"/>
  <c r="AC25" i="39" s="1"/>
  <c r="U25" i="39"/>
  <c r="W23" i="39"/>
  <c r="F95" i="39"/>
  <c r="G95" i="39" s="1"/>
  <c r="F21" i="39"/>
  <c r="H21" i="39"/>
  <c r="J21" i="39"/>
  <c r="W21" i="39" s="1"/>
  <c r="U17" i="39"/>
  <c r="AB15" i="39"/>
  <c r="S13" i="39"/>
  <c r="AA12" i="39"/>
  <c r="W12" i="39"/>
  <c r="W19" i="39"/>
  <c r="AC15" i="39"/>
  <c r="S15" i="39"/>
  <c r="P61" i="15"/>
  <c r="J53" i="15"/>
  <c r="L56" i="15" s="1"/>
  <c r="B55" i="43"/>
  <c r="C29" i="39"/>
  <c r="B66" i="43"/>
  <c r="M18" i="67"/>
  <c r="M18" i="15"/>
  <c r="F28" i="67"/>
  <c r="C28" i="67" s="1"/>
  <c r="D68" i="9"/>
  <c r="F30" i="69"/>
  <c r="C48" i="69" s="1"/>
  <c r="F52" i="9"/>
  <c r="F30" i="68"/>
  <c r="C30" i="68" s="1"/>
  <c r="F54" i="9"/>
  <c r="C24" i="12"/>
  <c r="C30" i="69"/>
  <c r="F28" i="15"/>
  <c r="C28" i="15" s="1"/>
  <c r="F32" i="15"/>
  <c r="F60" i="15" s="1"/>
  <c r="F32" i="67"/>
  <c r="F60" i="67" s="1"/>
  <c r="F31" i="12"/>
  <c r="F30" i="11"/>
  <c r="G6" i="1"/>
  <c r="G13" i="3"/>
  <c r="I4" i="6"/>
  <c r="G3" i="43" s="1"/>
  <c r="K101" i="43" s="1"/>
  <c r="E8" i="6"/>
  <c r="F27" i="6" s="1"/>
  <c r="T13" i="1"/>
  <c r="F30" i="6"/>
  <c r="K14" i="1"/>
  <c r="M14" i="1" s="1"/>
  <c r="H51" i="43"/>
  <c r="F37" i="43"/>
  <c r="G17" i="43"/>
  <c r="C17" i="43"/>
  <c r="H54" i="43"/>
  <c r="H17" i="43"/>
  <c r="F35" i="43"/>
  <c r="F39" i="43"/>
  <c r="H113" i="43"/>
  <c r="F36" i="43"/>
  <c r="H77" i="43"/>
  <c r="H76" i="43"/>
  <c r="M12" i="43"/>
  <c r="M9" i="43"/>
  <c r="H71" i="43"/>
  <c r="H78" i="43"/>
  <c r="H88" i="43"/>
  <c r="N9" i="43"/>
  <c r="N10" i="43"/>
  <c r="H82" i="43"/>
  <c r="H49" i="43"/>
  <c r="M6" i="43"/>
  <c r="N7" i="43"/>
  <c r="M4" i="43"/>
  <c r="M5" i="43"/>
  <c r="N12" i="43"/>
  <c r="N11" i="43"/>
  <c r="M10" i="43"/>
  <c r="M2" i="43"/>
  <c r="M7" i="43"/>
  <c r="N8" i="43"/>
  <c r="M1" i="43"/>
  <c r="M3" i="43"/>
  <c r="M11" i="43"/>
  <c r="N4" i="43"/>
  <c r="H56" i="43"/>
  <c r="H55" i="43"/>
  <c r="H63" i="43"/>
  <c r="H64" i="43"/>
  <c r="H65" i="43"/>
  <c r="H53" i="43"/>
  <c r="H84" i="43"/>
  <c r="H85" i="43"/>
  <c r="H87" i="43"/>
  <c r="H86" i="43"/>
  <c r="H48" i="43"/>
  <c r="H50" i="43"/>
  <c r="H75" i="43"/>
  <c r="T35" i="4"/>
  <c r="A19" i="51" s="1"/>
  <c r="B14" i="72" s="1"/>
  <c r="A15" i="62"/>
  <c r="B61" i="72" s="1"/>
  <c r="G7" i="1"/>
  <c r="G9" i="1"/>
  <c r="G10" i="1"/>
  <c r="G8" i="1"/>
  <c r="H112" i="9"/>
  <c r="D21" i="53" s="1"/>
  <c r="B39" i="72" s="1"/>
  <c r="B22" i="49"/>
  <c r="B19" i="53"/>
  <c r="B37" i="72" s="1"/>
  <c r="B13" i="53"/>
  <c r="B29" i="72" s="1"/>
  <c r="E9" i="49"/>
  <c r="D63" i="40"/>
  <c r="C65" i="40"/>
  <c r="I58" i="21"/>
  <c r="J58" i="21" s="1"/>
  <c r="K58" i="21" s="1"/>
  <c r="L58" i="21" s="1"/>
  <c r="M58" i="21" s="1"/>
  <c r="N58" i="21" s="1"/>
  <c r="O58" i="21" s="1"/>
  <c r="J7" i="21"/>
  <c r="H7" i="21"/>
  <c r="K48" i="35"/>
  <c r="L48" i="35" s="1"/>
  <c r="M48" i="35" s="1"/>
  <c r="N48" i="35" s="1"/>
  <c r="O48" i="35" s="1"/>
  <c r="F7" i="35"/>
  <c r="F7" i="21"/>
  <c r="H59" i="34"/>
  <c r="I59" i="34" s="1"/>
  <c r="J59" i="34" s="1"/>
  <c r="K59" i="34" s="1"/>
  <c r="L59" i="34" s="1"/>
  <c r="M59" i="34" s="1"/>
  <c r="N59" i="34" s="1"/>
  <c r="O59" i="34" s="1"/>
  <c r="J52" i="37"/>
  <c r="K52" i="37" s="1"/>
  <c r="L52" i="37" s="1"/>
  <c r="M52" i="37" s="1"/>
  <c r="N52" i="37" s="1"/>
  <c r="O52" i="37" s="1"/>
  <c r="E58" i="33"/>
  <c r="F58" i="33" s="1"/>
  <c r="G58" i="33" s="1"/>
  <c r="H58" i="33" s="1"/>
  <c r="I58" i="33" s="1"/>
  <c r="J58" i="33" s="1"/>
  <c r="K58" i="33" s="1"/>
  <c r="L58" i="33" s="1"/>
  <c r="M58" i="33" s="1"/>
  <c r="N58" i="33" s="1"/>
  <c r="O58" i="33" s="1"/>
  <c r="F7" i="33"/>
  <c r="P25" i="43"/>
  <c r="P24" i="43"/>
  <c r="B66" i="40" s="1"/>
  <c r="P23" i="43"/>
  <c r="B71" i="39" s="1"/>
  <c r="D12" i="52"/>
  <c r="D127" i="9"/>
  <c r="D13" i="52" s="1"/>
  <c r="D17" i="53"/>
  <c r="B36" i="72" s="1"/>
  <c r="D124" i="9"/>
  <c r="J7" i="34"/>
  <c r="J7" i="35"/>
  <c r="F7" i="37"/>
  <c r="AB19" i="33"/>
  <c r="AB11" i="37"/>
  <c r="U32" i="39"/>
  <c r="U15" i="21"/>
  <c r="AB15" i="21"/>
  <c r="AA37" i="21"/>
  <c r="S37" i="21"/>
  <c r="H7" i="37"/>
  <c r="AC17" i="21"/>
  <c r="W17" i="21"/>
  <c r="W37" i="21"/>
  <c r="AC37" i="21"/>
  <c r="D46" i="36"/>
  <c r="U12" i="39"/>
  <c r="AA34" i="33"/>
  <c r="AZ379" i="3"/>
  <c r="AZ372" i="3"/>
  <c r="AZ337" i="3"/>
  <c r="AZ305" i="3"/>
  <c r="S12" i="21"/>
  <c r="AA12" i="21"/>
  <c r="AZ557" i="3"/>
  <c r="AA25" i="21"/>
  <c r="W31" i="34"/>
  <c r="AA13" i="35"/>
  <c r="H12" i="21"/>
  <c r="J12" i="21"/>
  <c r="AZ399" i="3"/>
  <c r="AZ404" i="3"/>
  <c r="AZ411" i="3"/>
  <c r="AZ414" i="3"/>
  <c r="AZ421" i="3"/>
  <c r="AZ430" i="3"/>
  <c r="AZ409" i="3"/>
  <c r="AZ425" i="3"/>
  <c r="AZ432" i="3"/>
  <c r="H38" i="40"/>
  <c r="J38" i="40"/>
  <c r="H39" i="40"/>
  <c r="AZ216" i="3"/>
  <c r="AZ446" i="3"/>
  <c r="AZ450" i="3"/>
  <c r="AZ454" i="3"/>
  <c r="AZ459" i="3"/>
  <c r="AZ467" i="3"/>
  <c r="AZ471" i="3"/>
  <c r="AZ474" i="3"/>
  <c r="AZ476" i="3"/>
  <c r="AZ478" i="3"/>
  <c r="AZ480" i="3"/>
  <c r="AZ482" i="3"/>
  <c r="AZ484" i="3"/>
  <c r="AZ486" i="3"/>
  <c r="AZ488" i="3"/>
  <c r="AZ492" i="3"/>
  <c r="AZ211" i="3"/>
  <c r="AZ239" i="3"/>
  <c r="AZ255" i="3"/>
  <c r="AZ270" i="3"/>
  <c r="AZ274" i="3"/>
  <c r="AZ277" i="3"/>
  <c r="AZ298" i="3"/>
  <c r="AZ301" i="3"/>
  <c r="AZ122" i="3"/>
  <c r="AZ125" i="3"/>
  <c r="AZ22" i="3"/>
  <c r="AZ54" i="3"/>
  <c r="AZ57" i="3"/>
  <c r="AZ220" i="3"/>
  <c r="AZ225" i="3"/>
  <c r="AZ73" i="3"/>
  <c r="AZ78" i="3"/>
  <c r="AZ87" i="3"/>
  <c r="AZ91" i="3"/>
  <c r="AZ95" i="3"/>
  <c r="AZ104" i="3"/>
  <c r="AZ108" i="3"/>
  <c r="D23" i="67"/>
  <c r="U21" i="34"/>
  <c r="O50" i="71"/>
  <c r="O49" i="71"/>
  <c r="D50" i="71"/>
  <c r="E11" i="71"/>
  <c r="E10" i="71" s="1"/>
  <c r="V12" i="71"/>
  <c r="D36" i="71"/>
  <c r="T36" i="71"/>
  <c r="C11" i="71"/>
  <c r="D12" i="71"/>
  <c r="U12" i="71" s="1"/>
  <c r="T12" i="71"/>
  <c r="D38" i="71"/>
  <c r="C39" i="71"/>
  <c r="D46" i="71"/>
  <c r="C47" i="71"/>
  <c r="D16" i="71"/>
  <c r="T16" i="71"/>
  <c r="C24" i="71"/>
  <c r="D23" i="71"/>
  <c r="S52" i="71"/>
  <c r="B51" i="71"/>
  <c r="Z12" i="43"/>
  <c r="Z10" i="43"/>
  <c r="AD12" i="43"/>
  <c r="AD10" i="43"/>
  <c r="AH12" i="43"/>
  <c r="AH10" i="43"/>
  <c r="X7" i="71"/>
  <c r="C6" i="71"/>
  <c r="D7" i="71"/>
  <c r="AA6" i="71"/>
  <c r="X6" i="71"/>
  <c r="S18" i="36"/>
  <c r="D51" i="71"/>
  <c r="AA11" i="71"/>
  <c r="AA9" i="71"/>
  <c r="X12" i="71"/>
  <c r="X11" i="71"/>
  <c r="AA20" i="71"/>
  <c r="AB17" i="71"/>
  <c r="Y17" i="71"/>
  <c r="Z17" i="71" s="1"/>
  <c r="X16" i="71"/>
  <c r="N52" i="71"/>
  <c r="X21" i="71"/>
  <c r="AA13" i="71"/>
  <c r="AF10" i="43"/>
  <c r="AC12" i="43"/>
  <c r="AC10" i="43"/>
  <c r="AG12" i="43"/>
  <c r="AG10" i="43"/>
  <c r="Y8" i="71"/>
  <c r="Z8" i="71" s="1"/>
  <c r="Y7" i="71"/>
  <c r="Z7" i="71" s="1"/>
  <c r="AA7" i="71"/>
  <c r="AB7" i="71"/>
  <c r="Y5" i="71"/>
  <c r="Z5" i="71" s="1"/>
  <c r="AB6" i="71"/>
  <c r="AB5" i="71"/>
  <c r="AA5" i="71"/>
  <c r="AA8" i="71"/>
  <c r="AB8" i="71"/>
  <c r="D8" i="71"/>
  <c r="U8" i="71" s="1"/>
  <c r="S8" i="71"/>
  <c r="T8" i="71"/>
  <c r="Y6" i="71"/>
  <c r="Z6" i="71" s="1"/>
  <c r="X5" i="71"/>
  <c r="X8" i="71"/>
  <c r="E14" i="49"/>
  <c r="E15" i="49"/>
  <c r="E11" i="49"/>
  <c r="E13" i="49"/>
  <c r="B15" i="49"/>
  <c r="B16" i="49"/>
  <c r="E16" i="49"/>
  <c r="B14" i="49"/>
  <c r="B11" i="49"/>
  <c r="E22" i="49"/>
  <c r="E4" i="49"/>
  <c r="B6" i="49"/>
  <c r="E21" i="49"/>
  <c r="B9" i="49"/>
  <c r="E4" i="4" s="1"/>
  <c r="B5" i="62" s="1"/>
  <c r="B73" i="72" s="1"/>
  <c r="B5" i="49"/>
  <c r="B7" i="49"/>
  <c r="B8" i="49"/>
  <c r="B4" i="49"/>
  <c r="E5" i="49"/>
  <c r="E10" i="49"/>
  <c r="E8" i="49"/>
  <c r="B13" i="49"/>
  <c r="C4" i="4" s="1"/>
  <c r="E6" i="49"/>
  <c r="E7" i="49"/>
  <c r="B10" i="49"/>
  <c r="F63" i="67"/>
  <c r="C62" i="67" s="1"/>
  <c r="C34" i="67"/>
  <c r="B20" i="31"/>
  <c r="B7" i="70"/>
  <c r="B6" i="70"/>
  <c r="F69" i="67"/>
  <c r="J20" i="67"/>
  <c r="F70" i="67"/>
  <c r="F71" i="15"/>
  <c r="F64" i="67"/>
  <c r="F65" i="67"/>
  <c r="J57" i="15"/>
  <c r="J55" i="15" s="1"/>
  <c r="J58" i="15" s="1"/>
  <c r="Q50" i="15" s="1"/>
  <c r="I54" i="15"/>
  <c r="Q71" i="15"/>
  <c r="F71" i="67"/>
  <c r="F50" i="67"/>
  <c r="M7" i="67"/>
  <c r="F66" i="15"/>
  <c r="F51" i="67"/>
  <c r="C6" i="67"/>
  <c r="F50" i="15"/>
  <c r="M7" i="15"/>
  <c r="J6" i="15" s="1"/>
  <c r="I1" i="73"/>
  <c r="B39" i="1" s="1"/>
  <c r="F68" i="67"/>
  <c r="F66" i="67"/>
  <c r="C27" i="15"/>
  <c r="L58" i="67"/>
  <c r="L59" i="67"/>
  <c r="N59" i="67"/>
  <c r="M59" i="67"/>
  <c r="F51" i="15"/>
  <c r="F68" i="15"/>
  <c r="M59" i="15"/>
  <c r="L59" i="15" s="1"/>
  <c r="N59" i="15"/>
  <c r="L58" i="15"/>
  <c r="F64" i="15"/>
  <c r="F65" i="15"/>
  <c r="L56" i="67"/>
  <c r="I54" i="67"/>
  <c r="J57" i="67"/>
  <c r="J55" i="67" s="1"/>
  <c r="J58" i="67" s="1"/>
  <c r="Q50" i="67" s="1"/>
  <c r="C6" i="15"/>
  <c r="C27" i="67"/>
  <c r="Q71" i="67"/>
  <c r="B12" i="70"/>
  <c r="B13" i="70"/>
  <c r="K1" i="73"/>
  <c r="F59" i="15"/>
  <c r="M17" i="15"/>
  <c r="M17" i="67"/>
  <c r="F59" i="67"/>
  <c r="C16" i="15"/>
  <c r="C14" i="67"/>
  <c r="F7" i="79"/>
  <c r="M29" i="79"/>
  <c r="C16" i="67"/>
  <c r="C17" i="67"/>
  <c r="F43" i="79"/>
  <c r="E13" i="6" l="1"/>
  <c r="E58" i="40" s="1"/>
  <c r="D9" i="11"/>
  <c r="C9" i="11" s="1"/>
  <c r="D9" i="69"/>
  <c r="C9" i="69" s="1"/>
  <c r="E12" i="6"/>
  <c r="E57" i="40" s="1"/>
  <c r="G5" i="3"/>
  <c r="B3" i="3" s="1"/>
  <c r="E413" i="3" s="1"/>
  <c r="AP7" i="1"/>
  <c r="C36" i="69" s="1"/>
  <c r="E29" i="6"/>
  <c r="G30" i="6"/>
  <c r="G31" i="6" s="1"/>
  <c r="H7" i="34"/>
  <c r="H7" i="33"/>
  <c r="J7" i="33"/>
  <c r="J7" i="37"/>
  <c r="F7" i="34"/>
  <c r="H7" i="35"/>
  <c r="E10" i="6"/>
  <c r="AC25" i="37"/>
  <c r="W25" i="37"/>
  <c r="AA9" i="36"/>
  <c r="S9" i="36"/>
  <c r="AA9" i="33"/>
  <c r="S9" i="33"/>
  <c r="S45" i="39"/>
  <c r="AA45" i="39"/>
  <c r="S39" i="37"/>
  <c r="AA39" i="37"/>
  <c r="AA28" i="33"/>
  <c r="S28" i="33"/>
  <c r="AC13" i="21"/>
  <c r="W13" i="21"/>
  <c r="AA45" i="21"/>
  <c r="S45" i="21"/>
  <c r="AA44" i="33"/>
  <c r="S44" i="33"/>
  <c r="AB46" i="33"/>
  <c r="U46" i="33"/>
  <c r="S13" i="34"/>
  <c r="AA13" i="34"/>
  <c r="S45" i="34"/>
  <c r="AA45" i="34"/>
  <c r="AB35" i="35"/>
  <c r="U35" i="35"/>
  <c r="AB43" i="39"/>
  <c r="U43" i="39"/>
  <c r="AA27" i="37"/>
  <c r="S27" i="37"/>
  <c r="AC27" i="37"/>
  <c r="W27" i="37"/>
  <c r="AZ550" i="3"/>
  <c r="D70" i="39"/>
  <c r="E68" i="39"/>
  <c r="D20" i="53"/>
  <c r="B40" i="72" s="1"/>
  <c r="B38" i="72"/>
  <c r="I21" i="66"/>
  <c r="D1" i="66" s="1"/>
  <c r="E10" i="66" s="1"/>
  <c r="T20" i="71"/>
  <c r="D20" i="71"/>
  <c r="C44" i="71"/>
  <c r="D43" i="71"/>
  <c r="AZ469" i="3"/>
  <c r="AZ451" i="3"/>
  <c r="AA44" i="39"/>
  <c r="S44" i="39"/>
  <c r="S25" i="37"/>
  <c r="AA25" i="37"/>
  <c r="U12" i="33"/>
  <c r="AB12" i="33"/>
  <c r="AC44" i="39"/>
  <c r="W44" i="39"/>
  <c r="W28" i="34"/>
  <c r="AC28" i="34"/>
  <c r="U26" i="33"/>
  <c r="AB26" i="33"/>
  <c r="AC28" i="33"/>
  <c r="W28" i="33"/>
  <c r="AA27" i="21"/>
  <c r="S27" i="21"/>
  <c r="W30" i="33"/>
  <c r="AC30" i="33"/>
  <c r="S46" i="33"/>
  <c r="AA46" i="33"/>
  <c r="AC13" i="34"/>
  <c r="W13" i="34"/>
  <c r="AB29" i="34"/>
  <c r="U29" i="34"/>
  <c r="U13" i="35"/>
  <c r="AB13" i="35"/>
  <c r="W13" i="37"/>
  <c r="AC13" i="37"/>
  <c r="AB12" i="40"/>
  <c r="U12" i="40"/>
  <c r="AA14" i="40"/>
  <c r="S14" i="40"/>
  <c r="AB28" i="34"/>
  <c r="U28" i="34"/>
  <c r="W32" i="39"/>
  <c r="E14" i="6"/>
  <c r="E59" i="40" s="1"/>
  <c r="J730" i="83"/>
  <c r="K718" i="83"/>
  <c r="L718" i="83" s="1"/>
  <c r="J732" i="83"/>
  <c r="K720" i="83"/>
  <c r="L720" i="83" s="1"/>
  <c r="J729" i="83"/>
  <c r="K717" i="83"/>
  <c r="L717" i="83" s="1"/>
  <c r="J731" i="83"/>
  <c r="K719" i="83"/>
  <c r="L719" i="83" s="1"/>
  <c r="J748" i="83"/>
  <c r="K728" i="83"/>
  <c r="L728" i="83" s="1"/>
  <c r="E11" i="6"/>
  <c r="E61" i="39" s="1"/>
  <c r="E15" i="6"/>
  <c r="E60" i="40" s="1"/>
  <c r="M101" i="43"/>
  <c r="M102" i="43" s="1"/>
  <c r="E309" i="3"/>
  <c r="H16" i="1"/>
  <c r="M11" i="1"/>
  <c r="M16" i="1" s="1"/>
  <c r="D19" i="12"/>
  <c r="C19" i="12" s="1"/>
  <c r="E240" i="3"/>
  <c r="D9" i="68"/>
  <c r="C9" i="68" s="1"/>
  <c r="Q16" i="1"/>
  <c r="F27" i="69" s="1"/>
  <c r="C29" i="69" s="1"/>
  <c r="D27" i="69" s="1"/>
  <c r="N14" i="1"/>
  <c r="O14" i="1" s="1"/>
  <c r="P14" i="1" s="1"/>
  <c r="N12" i="1"/>
  <c r="O12" i="1" s="1"/>
  <c r="P12" i="1" s="1"/>
  <c r="N7" i="1"/>
  <c r="O7" i="1" s="1"/>
  <c r="P7" i="1" s="1"/>
  <c r="N11" i="1"/>
  <c r="N10" i="1"/>
  <c r="O10" i="1" s="1"/>
  <c r="P10" i="1" s="1"/>
  <c r="N8" i="1"/>
  <c r="O8" i="1" s="1"/>
  <c r="P8" i="1" s="1"/>
  <c r="N9" i="1"/>
  <c r="O9" i="1" s="1"/>
  <c r="P9" i="1" s="1"/>
  <c r="O6" i="1"/>
  <c r="P6" i="1" s="1"/>
  <c r="K15" i="1"/>
  <c r="K16" i="1" s="1"/>
  <c r="E30" i="6"/>
  <c r="E27" i="6"/>
  <c r="K19" i="6" s="1"/>
  <c r="AZ13" i="3"/>
  <c r="AZ5" i="3" s="1"/>
  <c r="L20" i="6"/>
  <c r="L19" i="6"/>
  <c r="L21" i="6"/>
  <c r="F71" i="79"/>
  <c r="M7" i="79"/>
  <c r="F50" i="79"/>
  <c r="AA32" i="39"/>
  <c r="S32" i="39"/>
  <c r="S27" i="39"/>
  <c r="W25" i="39"/>
  <c r="AA25" i="39"/>
  <c r="S25" i="39"/>
  <c r="AA21" i="39"/>
  <c r="S21" i="39"/>
  <c r="AC21" i="39"/>
  <c r="AB21" i="39"/>
  <c r="U21" i="39"/>
  <c r="F11" i="80"/>
  <c r="M11" i="80"/>
  <c r="F11" i="79"/>
  <c r="M11" i="79"/>
  <c r="F11" i="78"/>
  <c r="M11" i="78"/>
  <c r="F1" i="15"/>
  <c r="Q52" i="15"/>
  <c r="C48" i="68"/>
  <c r="C48" i="11"/>
  <c r="C30" i="11"/>
  <c r="AJ11" i="43"/>
  <c r="AJ13" i="43" s="1"/>
  <c r="E547" i="3"/>
  <c r="J22" i="43"/>
  <c r="B113" i="43"/>
  <c r="D117" i="43" s="1"/>
  <c r="E117" i="43" s="1"/>
  <c r="F117" i="43" s="1"/>
  <c r="G117" i="43" s="1"/>
  <c r="H117" i="43" s="1"/>
  <c r="E188" i="3"/>
  <c r="E431" i="3"/>
  <c r="E511" i="3"/>
  <c r="E499" i="3"/>
  <c r="E268" i="3"/>
  <c r="E461" i="3"/>
  <c r="AA6" i="3"/>
  <c r="AH6" i="3"/>
  <c r="E41" i="3"/>
  <c r="E391" i="3"/>
  <c r="E583" i="3"/>
  <c r="E562" i="3"/>
  <c r="E351" i="3"/>
  <c r="E299" i="3"/>
  <c r="E176" i="3"/>
  <c r="E167" i="3"/>
  <c r="E73" i="3"/>
  <c r="E78" i="3"/>
  <c r="E86" i="3"/>
  <c r="E102" i="3"/>
  <c r="E83" i="3"/>
  <c r="AI11" i="43"/>
  <c r="AI13" i="43" s="1"/>
  <c r="H22" i="43"/>
  <c r="Z11" i="43"/>
  <c r="Z13" i="43" s="1"/>
  <c r="C101" i="43"/>
  <c r="C105" i="43" s="1"/>
  <c r="AA11" i="43"/>
  <c r="AA13" i="43" s="1"/>
  <c r="AB11" i="43"/>
  <c r="AB13" i="43" s="1"/>
  <c r="I101" i="43"/>
  <c r="I102" i="43" s="1"/>
  <c r="F101" i="43"/>
  <c r="F107" i="43" s="1"/>
  <c r="AC11" i="43"/>
  <c r="AC13" i="43" s="1"/>
  <c r="AH11" i="43"/>
  <c r="AH13" i="43" s="1"/>
  <c r="L101" i="43"/>
  <c r="L102" i="43" s="1"/>
  <c r="N101" i="43"/>
  <c r="N103" i="43" s="1"/>
  <c r="N104" i="46"/>
  <c r="AE11" i="43"/>
  <c r="AE13" i="43" s="1"/>
  <c r="Z7" i="43"/>
  <c r="AF11" i="43"/>
  <c r="AF13" i="43" s="1"/>
  <c r="G22" i="43"/>
  <c r="D101" i="43"/>
  <c r="D103" i="43" s="1"/>
  <c r="E22" i="43"/>
  <c r="F22" i="43"/>
  <c r="Y11" i="43"/>
  <c r="Y13" i="43" s="1"/>
  <c r="AG11" i="43"/>
  <c r="AG13" i="43" s="1"/>
  <c r="AD11" i="43"/>
  <c r="AD13" i="43" s="1"/>
  <c r="E101" i="43"/>
  <c r="E106" i="43" s="1"/>
  <c r="H101" i="43"/>
  <c r="H103" i="43" s="1"/>
  <c r="J101" i="43"/>
  <c r="J103" i="43" s="1"/>
  <c r="G101" i="43"/>
  <c r="G103" i="43" s="1"/>
  <c r="E51" i="40"/>
  <c r="E56" i="39"/>
  <c r="F31" i="6"/>
  <c r="E63" i="39"/>
  <c r="C34" i="69"/>
  <c r="K103" i="43"/>
  <c r="K107" i="43"/>
  <c r="K104" i="43"/>
  <c r="K105" i="43"/>
  <c r="K109" i="43"/>
  <c r="K102" i="43"/>
  <c r="K106" i="43"/>
  <c r="B116" i="43"/>
  <c r="C116" i="43" s="1"/>
  <c r="C16" i="43"/>
  <c r="C5" i="43" s="1"/>
  <c r="K4" i="4"/>
  <c r="B46" i="48" s="1"/>
  <c r="B4" i="72" s="1"/>
  <c r="G16" i="1"/>
  <c r="H10" i="40" s="1"/>
  <c r="B4" i="62"/>
  <c r="B71" i="72" s="1"/>
  <c r="E63" i="40"/>
  <c r="D65" i="40"/>
  <c r="D6" i="71"/>
  <c r="C5" i="71"/>
  <c r="B50" i="71"/>
  <c r="N51" i="71"/>
  <c r="D47" i="71"/>
  <c r="C48" i="71"/>
  <c r="C40" i="71"/>
  <c r="D39" i="71"/>
  <c r="C10" i="71"/>
  <c r="D10" i="71" s="1"/>
  <c r="D11" i="71"/>
  <c r="U39" i="40"/>
  <c r="AB39" i="40"/>
  <c r="AB38" i="40"/>
  <c r="U38" i="40"/>
  <c r="AC12" i="21"/>
  <c r="W12" i="21"/>
  <c r="AB7" i="37"/>
  <c r="T42" i="37" s="1"/>
  <c r="G42" i="37" s="1"/>
  <c r="U7" i="37"/>
  <c r="W7" i="35"/>
  <c r="AC7" i="35"/>
  <c r="V38" i="35" s="1"/>
  <c r="I38" i="35" s="1"/>
  <c r="U7" i="34"/>
  <c r="AB7" i="34"/>
  <c r="T49" i="34" s="1"/>
  <c r="G49" i="34" s="1"/>
  <c r="D10" i="52"/>
  <c r="D125" i="9"/>
  <c r="D11" i="52" s="1"/>
  <c r="H14" i="74"/>
  <c r="B7" i="74" s="1"/>
  <c r="AA7" i="33"/>
  <c r="R48" i="33" s="1"/>
  <c r="S7" i="33"/>
  <c r="S7" i="21"/>
  <c r="AA7" i="21"/>
  <c r="R48" i="21" s="1"/>
  <c r="U7" i="35"/>
  <c r="AB7" i="35"/>
  <c r="T38" i="35" s="1"/>
  <c r="G38" i="35" s="1"/>
  <c r="AB7" i="21"/>
  <c r="T48" i="21" s="1"/>
  <c r="G48" i="21" s="1"/>
  <c r="U7" i="21"/>
  <c r="D24" i="71"/>
  <c r="T24" i="71"/>
  <c r="AC38" i="40"/>
  <c r="W38" i="40"/>
  <c r="AB12" i="21"/>
  <c r="U12" i="21"/>
  <c r="E46" i="36"/>
  <c r="AA7" i="37"/>
  <c r="R42" i="37" s="1"/>
  <c r="S7" i="37"/>
  <c r="W7" i="34"/>
  <c r="AC7" i="34"/>
  <c r="V49" i="34" s="1"/>
  <c r="I49" i="34" s="1"/>
  <c r="U7" i="33"/>
  <c r="AB7" i="33"/>
  <c r="T48" i="33" s="1"/>
  <c r="G48" i="33" s="1"/>
  <c r="W7" i="33"/>
  <c r="AC7" i="33"/>
  <c r="V48" i="33" s="1"/>
  <c r="I48" i="33" s="1"/>
  <c r="W7" i="37"/>
  <c r="AC7" i="37"/>
  <c r="V42" i="37" s="1"/>
  <c r="I42" i="37" s="1"/>
  <c r="S7" i="34"/>
  <c r="AA7" i="34"/>
  <c r="R49" i="34" s="1"/>
  <c r="AA7" i="35"/>
  <c r="R38" i="35" s="1"/>
  <c r="S7" i="35"/>
  <c r="AC7" i="21"/>
  <c r="V48" i="21" s="1"/>
  <c r="I48" i="21" s="1"/>
  <c r="W7" i="21"/>
  <c r="C49" i="67"/>
  <c r="C18" i="67"/>
  <c r="C15" i="67"/>
  <c r="Q73" i="15"/>
  <c r="Q60" i="15"/>
  <c r="C49" i="15"/>
  <c r="Q73" i="67"/>
  <c r="Q60" i="67"/>
  <c r="Q74" i="15"/>
  <c r="Q61" i="15"/>
  <c r="Q61" i="67"/>
  <c r="Q74" i="67"/>
  <c r="M11" i="15"/>
  <c r="J10" i="15" s="1"/>
  <c r="J5" i="15" s="1"/>
  <c r="M11" i="67"/>
  <c r="J10" i="67" s="1"/>
  <c r="F11" i="15"/>
  <c r="F11" i="67"/>
  <c r="J6" i="67"/>
  <c r="F9" i="78"/>
  <c r="M6" i="78"/>
  <c r="F40" i="78"/>
  <c r="F8" i="79"/>
  <c r="F37" i="79"/>
  <c r="M26" i="79"/>
  <c r="M8" i="80"/>
  <c r="M23" i="80"/>
  <c r="F42" i="80"/>
  <c r="D5" i="73"/>
  <c r="F38" i="78"/>
  <c r="M23" i="78"/>
  <c r="F37" i="78"/>
  <c r="M29" i="78"/>
  <c r="F9" i="79"/>
  <c r="M28" i="79"/>
  <c r="F26" i="79"/>
  <c r="F38" i="80"/>
  <c r="F37" i="80"/>
  <c r="F26" i="80"/>
  <c r="D7" i="73"/>
  <c r="M24" i="78"/>
  <c r="F6" i="78"/>
  <c r="M9" i="78"/>
  <c r="F38" i="79"/>
  <c r="F42" i="79"/>
  <c r="M22" i="79"/>
  <c r="F40" i="80"/>
  <c r="C76" i="80"/>
  <c r="F9" i="80"/>
  <c r="D3" i="73"/>
  <c r="F8" i="78"/>
  <c r="F42" i="78"/>
  <c r="F16" i="78"/>
  <c r="F43" i="78"/>
  <c r="F40" i="79"/>
  <c r="M24" i="79"/>
  <c r="F6" i="79"/>
  <c r="F16" i="80"/>
  <c r="F13" i="80"/>
  <c r="L48" i="80"/>
  <c r="D6" i="73"/>
  <c r="L48" i="79"/>
  <c r="M27" i="80"/>
  <c r="F8" i="80"/>
  <c r="AE8" i="1"/>
  <c r="C76" i="79"/>
  <c r="F6" i="80"/>
  <c r="M9" i="80"/>
  <c r="C76" i="78"/>
  <c r="J15" i="78"/>
  <c r="F7" i="78"/>
  <c r="M8" i="79"/>
  <c r="M26" i="80"/>
  <c r="M22" i="80"/>
  <c r="M8" i="78"/>
  <c r="F26" i="78"/>
  <c r="M22" i="78"/>
  <c r="F13" i="79"/>
  <c r="M6" i="80"/>
  <c r="J15" i="80"/>
  <c r="L47" i="78"/>
  <c r="F13" i="78"/>
  <c r="F36" i="78"/>
  <c r="M6" i="79"/>
  <c r="J15" i="79"/>
  <c r="L47" i="80"/>
  <c r="F43" i="80"/>
  <c r="L48" i="78"/>
  <c r="M26" i="78"/>
  <c r="M27" i="78"/>
  <c r="F16" i="79"/>
  <c r="M23" i="79"/>
  <c r="F36" i="80"/>
  <c r="M29" i="80"/>
  <c r="M28" i="78"/>
  <c r="M9" i="79"/>
  <c r="M27" i="79"/>
  <c r="M24" i="80"/>
  <c r="D4" i="73"/>
  <c r="L47" i="79"/>
  <c r="F36" i="79"/>
  <c r="M28" i="80"/>
  <c r="F7" i="80"/>
  <c r="E65" i="39" l="1"/>
  <c r="I116" i="43"/>
  <c r="J116" i="43" s="1"/>
  <c r="K116" i="43" s="1"/>
  <c r="L116" i="43" s="1"/>
  <c r="M116" i="43" s="1"/>
  <c r="K25" i="6"/>
  <c r="I115" i="43"/>
  <c r="J115" i="43" s="1"/>
  <c r="K115" i="43" s="1"/>
  <c r="L115" i="43" s="1"/>
  <c r="M115" i="43" s="1"/>
  <c r="E287" i="3"/>
  <c r="E232" i="3"/>
  <c r="E383" i="3"/>
  <c r="E394" i="3"/>
  <c r="AE6" i="3"/>
  <c r="E246" i="3"/>
  <c r="E123" i="3"/>
  <c r="E455" i="3"/>
  <c r="E72" i="3"/>
  <c r="E290" i="3"/>
  <c r="E94" i="3"/>
  <c r="E225" i="3"/>
  <c r="E470" i="3"/>
  <c r="E77" i="3"/>
  <c r="E204" i="3"/>
  <c r="V6" i="3"/>
  <c r="E255" i="3"/>
  <c r="E236" i="3"/>
  <c r="E17" i="3"/>
  <c r="E69" i="3"/>
  <c r="E345" i="3"/>
  <c r="M105" i="43"/>
  <c r="K22" i="6"/>
  <c r="M22" i="6" s="1"/>
  <c r="I22" i="6" s="1"/>
  <c r="S22" i="6" s="1"/>
  <c r="E326" i="3"/>
  <c r="E113" i="3"/>
  <c r="E370" i="3"/>
  <c r="E49" i="3"/>
  <c r="E522" i="3"/>
  <c r="E220" i="3"/>
  <c r="E32" i="3"/>
  <c r="E256" i="3"/>
  <c r="E496" i="3"/>
  <c r="E481" i="3"/>
  <c r="E298" i="3"/>
  <c r="E524" i="3"/>
  <c r="E364" i="3"/>
  <c r="AQ6" i="3"/>
  <c r="E137" i="3"/>
  <c r="E31" i="3"/>
  <c r="E150" i="3"/>
  <c r="E450" i="3"/>
  <c r="E560" i="3"/>
  <c r="E523" i="3"/>
  <c r="E482" i="3"/>
  <c r="AL6" i="3"/>
  <c r="E243" i="3"/>
  <c r="E198" i="3"/>
  <c r="E26" i="3"/>
  <c r="E494" i="3"/>
  <c r="E458" i="3"/>
  <c r="E538" i="3"/>
  <c r="E469" i="3"/>
  <c r="E387" i="3"/>
  <c r="E427" i="3"/>
  <c r="E422" i="3"/>
  <c r="E153" i="3"/>
  <c r="E466" i="3"/>
  <c r="E224" i="3"/>
  <c r="E306" i="3"/>
  <c r="E359" i="3"/>
  <c r="E237" i="3"/>
  <c r="E445" i="3"/>
  <c r="E518" i="3"/>
  <c r="Z6" i="3"/>
  <c r="E157" i="3"/>
  <c r="E386" i="3"/>
  <c r="AM6" i="3"/>
  <c r="E435" i="3"/>
  <c r="E110" i="3"/>
  <c r="E222" i="3"/>
  <c r="E432" i="3"/>
  <c r="E63" i="3"/>
  <c r="E520" i="3"/>
  <c r="E56" i="40"/>
  <c r="E62" i="39"/>
  <c r="M106" i="43"/>
  <c r="M104" i="43"/>
  <c r="M109" i="43"/>
  <c r="E377" i="3"/>
  <c r="E68" i="3"/>
  <c r="E480" i="3"/>
  <c r="E267" i="3"/>
  <c r="E126" i="3"/>
  <c r="E250" i="3"/>
  <c r="E65" i="3"/>
  <c r="E378" i="3"/>
  <c r="E57" i="3"/>
  <c r="E303" i="3"/>
  <c r="E546" i="3"/>
  <c r="E515" i="3"/>
  <c r="E586" i="3"/>
  <c r="E485" i="3"/>
  <c r="E197" i="3"/>
  <c r="E382" i="3"/>
  <c r="E493" i="3"/>
  <c r="E563" i="3"/>
  <c r="E509" i="3"/>
  <c r="E130" i="3"/>
  <c r="E565" i="3"/>
  <c r="O6" i="3"/>
  <c r="E97" i="3"/>
  <c r="AK6" i="3"/>
  <c r="E262" i="3"/>
  <c r="E89" i="3"/>
  <c r="E286" i="3"/>
  <c r="E502" i="3"/>
  <c r="E430" i="3"/>
  <c r="AP6" i="3"/>
  <c r="E510" i="3"/>
  <c r="E294" i="3"/>
  <c r="E545" i="3"/>
  <c r="E207" i="3"/>
  <c r="E322" i="3"/>
  <c r="E514" i="3"/>
  <c r="E134" i="3"/>
  <c r="E534" i="3"/>
  <c r="E360" i="3"/>
  <c r="E270" i="3"/>
  <c r="E216" i="3"/>
  <c r="E519" i="3"/>
  <c r="E457" i="3"/>
  <c r="J6" i="3"/>
  <c r="E452" i="3"/>
  <c r="E420" i="3"/>
  <c r="E104" i="3"/>
  <c r="E115" i="3"/>
  <c r="E139" i="3"/>
  <c r="E281" i="3"/>
  <c r="E332" i="3"/>
  <c r="E356" i="3"/>
  <c r="E42" i="3"/>
  <c r="E488" i="3"/>
  <c r="E18" i="3"/>
  <c r="E293" i="3"/>
  <c r="E321" i="3"/>
  <c r="E141" i="3"/>
  <c r="E406" i="3"/>
  <c r="E571" i="3"/>
  <c r="E433" i="3"/>
  <c r="E111" i="3"/>
  <c r="E279" i="3"/>
  <c r="E318" i="3"/>
  <c r="E75" i="3"/>
  <c r="E100" i="3"/>
  <c r="E234" i="3"/>
  <c r="E325" i="3"/>
  <c r="E36" i="3"/>
  <c r="E289" i="3"/>
  <c r="E20" i="3"/>
  <c r="E265" i="3"/>
  <c r="N6" i="3"/>
  <c r="E506" i="3"/>
  <c r="E117" i="3"/>
  <c r="Q6" i="3"/>
  <c r="E344" i="3"/>
  <c r="E429" i="3"/>
  <c r="E55" i="3"/>
  <c r="E203" i="3"/>
  <c r="E274" i="3"/>
  <c r="E580" i="3"/>
  <c r="E15" i="3"/>
  <c r="E190" i="3"/>
  <c r="E235" i="3"/>
  <c r="AN6" i="3"/>
  <c r="E402" i="3"/>
  <c r="E109" i="3"/>
  <c r="E211" i="3"/>
  <c r="E46" i="3"/>
  <c r="E70" i="3"/>
  <c r="E21" i="3"/>
  <c r="E84" i="3"/>
  <c r="E484" i="3"/>
  <c r="E273" i="3"/>
  <c r="E28" i="3"/>
  <c r="E81" i="3"/>
  <c r="E33" i="3"/>
  <c r="E249" i="3"/>
  <c r="E467" i="3"/>
  <c r="E30" i="3"/>
  <c r="E316" i="3"/>
  <c r="E166" i="3"/>
  <c r="E88" i="3"/>
  <c r="E411" i="3"/>
  <c r="E85" i="3"/>
  <c r="E513" i="3"/>
  <c r="E118" i="3"/>
  <c r="E381" i="3"/>
  <c r="E144" i="3"/>
  <c r="E23" i="3"/>
  <c r="E300" i="3"/>
  <c r="E142" i="3"/>
  <c r="E64" i="3"/>
  <c r="E441" i="3"/>
  <c r="E44" i="3"/>
  <c r="E384" i="3"/>
  <c r="E331" i="3"/>
  <c r="E210" i="3"/>
  <c r="E186" i="3"/>
  <c r="E162" i="3"/>
  <c r="E27" i="3"/>
  <c r="E436" i="3"/>
  <c r="E582" i="3"/>
  <c r="E379" i="3"/>
  <c r="E353"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91" i="3"/>
  <c r="E517" i="3"/>
  <c r="E367" i="3"/>
  <c r="U6" i="3"/>
  <c r="E228" i="3"/>
  <c r="E229" i="3"/>
  <c r="E404" i="3"/>
  <c r="E489" i="3"/>
  <c r="E444" i="3"/>
  <c r="E531" i="3"/>
  <c r="E581" i="3"/>
  <c r="E505" i="3"/>
  <c r="E264" i="3"/>
  <c r="E184" i="3"/>
  <c r="E200" i="3"/>
  <c r="E182" i="3"/>
  <c r="E355" i="3"/>
  <c r="E160" i="3"/>
  <c r="E334" i="3"/>
  <c r="E121" i="3"/>
  <c r="E557" i="3"/>
  <c r="E283" i="3"/>
  <c r="E233" i="3"/>
  <c r="E310" i="3"/>
  <c r="E103" i="3"/>
  <c r="E29" i="3"/>
  <c r="E317" i="3"/>
  <c r="E272" i="3"/>
  <c r="E92" i="3"/>
  <c r="E460" i="3"/>
  <c r="E159" i="3"/>
  <c r="E373" i="3"/>
  <c r="E154" i="3"/>
  <c r="E341" i="3"/>
  <c r="E87" i="3"/>
  <c r="E584" i="3"/>
  <c r="E266" i="3"/>
  <c r="E195" i="3"/>
  <c r="E47" i="3"/>
  <c r="E540" i="3"/>
  <c r="E58" i="3"/>
  <c r="E375" i="3"/>
  <c r="E348" i="3"/>
  <c r="E297" i="3"/>
  <c r="E155" i="3"/>
  <c r="E131" i="3"/>
  <c r="E90" i="3"/>
  <c r="E417" i="3"/>
  <c r="E554" i="3"/>
  <c r="E116" i="3"/>
  <c r="AT6" i="3"/>
  <c r="E447" i="3"/>
  <c r="E476" i="3"/>
  <c r="AS6" i="3"/>
  <c r="E477" i="3"/>
  <c r="E478" i="3"/>
  <c r="E585" i="3"/>
  <c r="E238" i="3"/>
  <c r="E99" i="3"/>
  <c r="E350" i="3"/>
  <c r="E495" i="3"/>
  <c r="E558" i="3"/>
  <c r="E443" i="3"/>
  <c r="P6" i="3"/>
  <c r="E448" i="3"/>
  <c r="AG6" i="3"/>
  <c r="E576" i="3"/>
  <c r="E173" i="3"/>
  <c r="E223" i="3"/>
  <c r="E181" i="3"/>
  <c r="E191" i="3"/>
  <c r="E263" i="3"/>
  <c r="E423" i="3"/>
  <c r="AI6" i="3"/>
  <c r="E385" i="3"/>
  <c r="E13" i="3"/>
  <c r="E358" i="3"/>
  <c r="E530" i="3"/>
  <c r="E114" i="3"/>
  <c r="E415" i="3"/>
  <c r="E395" i="3"/>
  <c r="E260" i="3"/>
  <c r="E550" i="3"/>
  <c r="E239" i="3"/>
  <c r="E516" i="3"/>
  <c r="E569" i="3"/>
  <c r="E396" i="3"/>
  <c r="E490" i="3"/>
  <c r="E508" i="3"/>
  <c r="E175" i="3"/>
  <c r="E261" i="3"/>
  <c r="E528" i="3"/>
  <c r="E183" i="3"/>
  <c r="E361" i="3"/>
  <c r="E503" i="3"/>
  <c r="E388" i="3"/>
  <c r="E555" i="3"/>
  <c r="E410" i="3"/>
  <c r="E337" i="3"/>
  <c r="E143"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01" i="3"/>
  <c r="E426" i="3"/>
  <c r="E125" i="3"/>
  <c r="E407" i="3"/>
  <c r="E486" i="3"/>
  <c r="E329" i="3"/>
  <c r="E551" i="3"/>
  <c r="E221" i="3"/>
  <c r="E543" i="3"/>
  <c r="E217" i="3"/>
  <c r="E366" i="3"/>
  <c r="E352" i="3"/>
  <c r="E559" i="3"/>
  <c r="E320" i="3"/>
  <c r="E254" i="3"/>
  <c r="E145" i="3"/>
  <c r="E564" i="3"/>
  <c r="E507" i="3"/>
  <c r="E526" i="3"/>
  <c r="E282" i="3"/>
  <c r="E567" i="3"/>
  <c r="E227" i="3"/>
  <c r="E311" i="3"/>
  <c r="E570" i="3"/>
  <c r="AB6" i="3"/>
  <c r="E335" i="3"/>
  <c r="E189" i="3"/>
  <c r="E91" i="3"/>
  <c r="E252" i="3"/>
  <c r="E164" i="3"/>
  <c r="E525" i="3"/>
  <c r="T6" i="3"/>
  <c r="E456" i="3"/>
  <c r="E512" i="3"/>
  <c r="E451" i="3"/>
  <c r="E53" i="3"/>
  <c r="E347" i="3"/>
  <c r="E399" i="3"/>
  <c r="E124" i="3"/>
  <c r="E533" i="3"/>
  <c r="E561" i="3"/>
  <c r="E439" i="3"/>
  <c r="E231" i="3"/>
  <c r="E185" i="3"/>
  <c r="E161" i="3"/>
  <c r="E253" i="3"/>
  <c r="E313" i="3"/>
  <c r="E532" i="3"/>
  <c r="E529" i="3"/>
  <c r="E474" i="3"/>
  <c r="E438" i="3"/>
  <c r="E288" i="3"/>
  <c r="E556" i="3"/>
  <c r="E64" i="39"/>
  <c r="E22" i="3"/>
  <c r="E308" i="3"/>
  <c r="E158" i="3"/>
  <c r="E80" i="3"/>
  <c r="AF6" i="3"/>
  <c r="E251" i="3"/>
  <c r="E206" i="3"/>
  <c r="E34" i="3"/>
  <c r="E35" i="3"/>
  <c r="E342" i="3"/>
  <c r="E324" i="3"/>
  <c r="E275" i="3"/>
  <c r="E174" i="3"/>
  <c r="E129" i="3"/>
  <c r="E79" i="3"/>
  <c r="E409" i="3"/>
  <c r="E74" i="3"/>
  <c r="E362" i="3"/>
  <c r="E315" i="3"/>
  <c r="E214" i="3"/>
  <c r="E171" i="3"/>
  <c r="E146" i="3"/>
  <c r="E106" i="3"/>
  <c r="E454" i="3"/>
  <c r="E468" i="3"/>
  <c r="E577" i="3"/>
  <c r="E587" i="3"/>
  <c r="E424" i="3"/>
  <c r="E437" i="3"/>
  <c r="E330" i="3"/>
  <c r="E149" i="3"/>
  <c r="E61" i="3"/>
  <c r="E338" i="3"/>
  <c r="S6" i="3"/>
  <c r="X6" i="3"/>
  <c r="E101" i="3"/>
  <c r="E365" i="3"/>
  <c r="E218" i="3"/>
  <c r="E62" i="3"/>
  <c r="E50" i="3"/>
  <c r="E340" i="3"/>
  <c r="E147" i="3"/>
  <c r="E112" i="3"/>
  <c r="E52" i="3"/>
  <c r="E392" i="3"/>
  <c r="E339" i="3"/>
  <c r="E219" i="3"/>
  <c r="E194" i="3"/>
  <c r="E170" i="3"/>
  <c r="E38" i="3"/>
  <c r="E473" i="3"/>
  <c r="E93" i="3"/>
  <c r="E14" i="3"/>
  <c r="E357" i="3"/>
  <c r="E257" i="3"/>
  <c r="E208" i="3"/>
  <c r="E168" i="3"/>
  <c r="E54" i="3"/>
  <c r="E475" i="3"/>
  <c r="E471" i="3"/>
  <c r="E537" i="3"/>
  <c r="W6" i="3"/>
  <c r="E465" i="3"/>
  <c r="E472" i="3"/>
  <c r="K6" i="3"/>
  <c r="E212" i="3"/>
  <c r="E169" i="3"/>
  <c r="E418" i="3"/>
  <c r="E390" i="3"/>
  <c r="E336" i="3"/>
  <c r="E96" i="3"/>
  <c r="E412" i="3"/>
  <c r="E428" i="3"/>
  <c r="E43" i="3"/>
  <c r="E60" i="3"/>
  <c r="L6" i="3"/>
  <c r="E372" i="3"/>
  <c r="E333" i="3"/>
  <c r="E346" i="3"/>
  <c r="E276" i="3"/>
  <c r="E226" i="3"/>
  <c r="E242" i="3"/>
  <c r="E202" i="3"/>
  <c r="E119" i="3"/>
  <c r="E178" i="3"/>
  <c r="E108" i="3"/>
  <c r="E25" i="3"/>
  <c r="E40" i="3"/>
  <c r="E463" i="3"/>
  <c r="E401" i="3"/>
  <c r="E483" i="3"/>
  <c r="E419" i="3"/>
  <c r="E498" i="3"/>
  <c r="E497" i="3"/>
  <c r="E376" i="3"/>
  <c r="E527" i="3"/>
  <c r="E573" i="3"/>
  <c r="E199" i="3"/>
  <c r="E135" i="3"/>
  <c r="E380" i="3"/>
  <c r="AR6" i="3"/>
  <c r="E280" i="3"/>
  <c r="E553" i="3"/>
  <c r="E408" i="3"/>
  <c r="E405" i="3"/>
  <c r="E369" i="3"/>
  <c r="E180" i="3"/>
  <c r="E215" i="3"/>
  <c r="M6" i="3"/>
  <c r="E165" i="3"/>
  <c r="E539" i="3"/>
  <c r="E440" i="3"/>
  <c r="E393" i="3"/>
  <c r="E230" i="3"/>
  <c r="E128" i="3"/>
  <c r="AJ6" i="3"/>
  <c r="E107" i="3"/>
  <c r="E205" i="3"/>
  <c r="E271" i="3"/>
  <c r="E328" i="3"/>
  <c r="E319" i="3"/>
  <c r="I3" i="6"/>
  <c r="E449" i="3"/>
  <c r="E541" i="3"/>
  <c r="E442" i="3"/>
  <c r="R6" i="3"/>
  <c r="E575" i="3"/>
  <c r="E193" i="3"/>
  <c r="E45" i="3"/>
  <c r="E269" i="3"/>
  <c r="E136" i="3"/>
  <c r="E296" i="3"/>
  <c r="E434" i="3"/>
  <c r="E16" i="3"/>
  <c r="E314" i="3"/>
  <c r="E285" i="3"/>
  <c r="E574" i="3"/>
  <c r="E302" i="3"/>
  <c r="E213" i="3"/>
  <c r="E304" i="3"/>
  <c r="E343" i="3"/>
  <c r="E247" i="3"/>
  <c r="E579" i="3"/>
  <c r="E535" i="3"/>
  <c r="E172" i="3"/>
  <c r="E278" i="3"/>
  <c r="E305" i="3"/>
  <c r="E151" i="3"/>
  <c r="E578" i="3"/>
  <c r="E245" i="3"/>
  <c r="E140" i="3"/>
  <c r="E327" i="3"/>
  <c r="AO6" i="3"/>
  <c r="E400" i="3"/>
  <c r="E201" i="3"/>
  <c r="E301" i="3"/>
  <c r="E105" i="3"/>
  <c r="E414" i="3"/>
  <c r="E403" i="3"/>
  <c r="E548" i="3"/>
  <c r="E39" i="3"/>
  <c r="E187" i="3"/>
  <c r="E259" i="3"/>
  <c r="E504" i="3"/>
  <c r="E521" i="3"/>
  <c r="E248" i="3"/>
  <c r="E24" i="3"/>
  <c r="E51" i="3"/>
  <c r="E71" i="3"/>
  <c r="E291" i="3"/>
  <c r="E425" i="3"/>
  <c r="E67" i="3"/>
  <c r="E295" i="3"/>
  <c r="E492" i="3"/>
  <c r="E572" i="3"/>
  <c r="E371" i="3"/>
  <c r="L107" i="43"/>
  <c r="M107" i="43"/>
  <c r="M103" i="43"/>
  <c r="I106" i="43"/>
  <c r="M7" i="80"/>
  <c r="J6" i="80" s="1"/>
  <c r="J10" i="80" s="1"/>
  <c r="J5" i="80" s="1"/>
  <c r="F50" i="80"/>
  <c r="C27" i="80"/>
  <c r="L57" i="80"/>
  <c r="L60" i="80"/>
  <c r="L56" i="80"/>
  <c r="J53" i="80"/>
  <c r="J59" i="80"/>
  <c r="I54" i="80"/>
  <c r="J57" i="80"/>
  <c r="J55" i="80" s="1"/>
  <c r="J58" i="80" s="1"/>
  <c r="Q50" i="80" s="1"/>
  <c r="J60" i="80"/>
  <c r="Q48" i="80" s="1"/>
  <c r="F65" i="80"/>
  <c r="F64" i="80"/>
  <c r="F66" i="80"/>
  <c r="C6" i="80"/>
  <c r="C27" i="79"/>
  <c r="C6" i="79"/>
  <c r="C10" i="79" s="1"/>
  <c r="C5" i="79" s="1"/>
  <c r="F64" i="79"/>
  <c r="Q71" i="79"/>
  <c r="F68" i="79"/>
  <c r="L58" i="79"/>
  <c r="N59" i="79"/>
  <c r="M59" i="79"/>
  <c r="L59" i="79" s="1"/>
  <c r="F71" i="78"/>
  <c r="F65" i="78"/>
  <c r="C27" i="78"/>
  <c r="L60" i="78"/>
  <c r="L56" i="78"/>
  <c r="J53" i="78"/>
  <c r="J59" i="78"/>
  <c r="J57" i="78"/>
  <c r="J55" i="78" s="1"/>
  <c r="J58" i="78" s="1"/>
  <c r="Q50" i="78" s="1"/>
  <c r="J60" i="78"/>
  <c r="Q48" i="78" s="1"/>
  <c r="I54" i="78"/>
  <c r="F66" i="78"/>
  <c r="F51" i="78"/>
  <c r="E20" i="43"/>
  <c r="F71" i="80"/>
  <c r="F51" i="80"/>
  <c r="Q71" i="80"/>
  <c r="F68" i="80"/>
  <c r="N59" i="80"/>
  <c r="L58" i="80"/>
  <c r="M59" i="80"/>
  <c r="L59" i="80" s="1"/>
  <c r="L56" i="79"/>
  <c r="L57" i="79"/>
  <c r="L60" i="79"/>
  <c r="J53" i="79"/>
  <c r="J59" i="79"/>
  <c r="I54" i="79"/>
  <c r="J57" i="79"/>
  <c r="J55" i="79" s="1"/>
  <c r="J58" i="79" s="1"/>
  <c r="Q50" i="79" s="1"/>
  <c r="J60" i="79"/>
  <c r="Q48" i="79" s="1"/>
  <c r="F65" i="79"/>
  <c r="F51" i="79"/>
  <c r="C49" i="79" s="1"/>
  <c r="F66" i="79"/>
  <c r="M7" i="78"/>
  <c r="J6" i="78" s="1"/>
  <c r="J10" i="78" s="1"/>
  <c r="J5" i="78" s="1"/>
  <c r="F50" i="78"/>
  <c r="F68" i="78"/>
  <c r="F64" i="78"/>
  <c r="C6" i="78"/>
  <c r="C10" i="78" s="1"/>
  <c r="C5" i="78" s="1"/>
  <c r="L58" i="78"/>
  <c r="N59" i="78"/>
  <c r="M59" i="78"/>
  <c r="L59" i="78" s="1"/>
  <c r="Q71" i="78"/>
  <c r="J6" i="79"/>
  <c r="J10" i="79" s="1"/>
  <c r="J5" i="79" s="1"/>
  <c r="J26" i="79" s="1"/>
  <c r="D44" i="71"/>
  <c r="T44" i="71"/>
  <c r="F68" i="39"/>
  <c r="E70" i="39"/>
  <c r="F27" i="11"/>
  <c r="C47" i="11" s="1"/>
  <c r="D45" i="11" s="1"/>
  <c r="F27" i="68"/>
  <c r="C29" i="68" s="1"/>
  <c r="D27" i="68" s="1"/>
  <c r="O11" i="1"/>
  <c r="P11" i="1" s="1"/>
  <c r="P16" i="1" s="1"/>
  <c r="C11" i="12" s="1"/>
  <c r="C15" i="12" s="1"/>
  <c r="E16" i="6"/>
  <c r="K729" i="83"/>
  <c r="L729" i="83" s="1"/>
  <c r="K730" i="83"/>
  <c r="L730" i="83" s="1"/>
  <c r="M728" i="83"/>
  <c r="J776" i="83"/>
  <c r="J752" i="83"/>
  <c r="J750" i="83"/>
  <c r="J751" i="83"/>
  <c r="J749" i="83"/>
  <c r="M748" i="83"/>
  <c r="K748" i="83"/>
  <c r="L748" i="83" s="1"/>
  <c r="L731" i="83"/>
  <c r="K731" i="83"/>
  <c r="L732" i="83"/>
  <c r="K732" i="83"/>
  <c r="D118" i="43"/>
  <c r="E118" i="43" s="1"/>
  <c r="F118" i="43" s="1"/>
  <c r="I117" i="43"/>
  <c r="J117" i="43" s="1"/>
  <c r="K117" i="43" s="1"/>
  <c r="L117" i="43" s="1"/>
  <c r="M117" i="43" s="1"/>
  <c r="I118" i="43"/>
  <c r="J118" i="43" s="1"/>
  <c r="K118" i="43" s="1"/>
  <c r="L118" i="43" s="1"/>
  <c r="M118" i="43" s="1"/>
  <c r="K23" i="6"/>
  <c r="M23" i="6" s="1"/>
  <c r="I23" i="6" s="1"/>
  <c r="S23" i="6" s="1"/>
  <c r="K24" i="6"/>
  <c r="M24" i="6" s="1"/>
  <c r="I24" i="6" s="1"/>
  <c r="S24" i="6" s="1"/>
  <c r="F28" i="12"/>
  <c r="C29" i="12" s="1"/>
  <c r="D28" i="12" s="1"/>
  <c r="E31" i="6"/>
  <c r="M19" i="6"/>
  <c r="I19" i="6" s="1"/>
  <c r="L105" i="43"/>
  <c r="I105" i="43"/>
  <c r="C13" i="12"/>
  <c r="L27" i="6"/>
  <c r="C47" i="69"/>
  <c r="D45" i="69" s="1"/>
  <c r="AR13" i="1"/>
  <c r="AQ13" i="1"/>
  <c r="E3" i="6"/>
  <c r="D3" i="21" s="1"/>
  <c r="AY6" i="3"/>
  <c r="AY58" i="3" s="1"/>
  <c r="D115" i="43"/>
  <c r="E115" i="43" s="1"/>
  <c r="F115" i="43" s="1"/>
  <c r="G115" i="43" s="1"/>
  <c r="H115" i="43" s="1"/>
  <c r="B117" i="43"/>
  <c r="C117" i="43" s="1"/>
  <c r="D116" i="43"/>
  <c r="E116" i="43" s="1"/>
  <c r="F116" i="43" s="1"/>
  <c r="G116" i="43" s="1"/>
  <c r="H116" i="43" s="1"/>
  <c r="B115" i="43"/>
  <c r="B118" i="43"/>
  <c r="C118" i="43" s="1"/>
  <c r="G118" i="43"/>
  <c r="H118" i="43" s="1"/>
  <c r="L109" i="43"/>
  <c r="I104" i="43"/>
  <c r="I109" i="43"/>
  <c r="K21" i="6"/>
  <c r="K26" i="6"/>
  <c r="M26" i="6" s="1"/>
  <c r="I26" i="6" s="1"/>
  <c r="S26" i="6" s="1"/>
  <c r="K20" i="6"/>
  <c r="F103" i="43"/>
  <c r="D109" i="43"/>
  <c r="H109" i="43"/>
  <c r="L103" i="43"/>
  <c r="L106" i="43"/>
  <c r="L104" i="43"/>
  <c r="I107" i="43"/>
  <c r="I103" i="43"/>
  <c r="C53" i="80"/>
  <c r="C10" i="80"/>
  <c r="C53" i="79"/>
  <c r="C53" i="78"/>
  <c r="N102" i="43"/>
  <c r="C107" i="43"/>
  <c r="J106" i="43"/>
  <c r="E102" i="43"/>
  <c r="M25" i="6"/>
  <c r="I25" i="6" s="1"/>
  <c r="S25" i="6" s="1"/>
  <c r="S12" i="1"/>
  <c r="S6" i="1"/>
  <c r="N109" i="43"/>
  <c r="C102" i="43"/>
  <c r="S7" i="43" s="1"/>
  <c r="C104" i="43"/>
  <c r="F106" i="43"/>
  <c r="J109" i="43"/>
  <c r="E104" i="43"/>
  <c r="D105" i="43"/>
  <c r="N107" i="43"/>
  <c r="N106" i="43"/>
  <c r="C109" i="43"/>
  <c r="C103" i="43"/>
  <c r="C106" i="43"/>
  <c r="F109" i="43"/>
  <c r="F104" i="43"/>
  <c r="J107" i="43"/>
  <c r="J105" i="43"/>
  <c r="E105" i="43"/>
  <c r="E103" i="43"/>
  <c r="D102" i="43"/>
  <c r="D104" i="43"/>
  <c r="G102" i="43"/>
  <c r="H104" i="43"/>
  <c r="G104" i="43"/>
  <c r="G106" i="43"/>
  <c r="H106" i="43"/>
  <c r="H102" i="43"/>
  <c r="N105" i="43"/>
  <c r="N104" i="43"/>
  <c r="F102" i="43"/>
  <c r="F105" i="43"/>
  <c r="G109" i="43"/>
  <c r="G107" i="43"/>
  <c r="G105" i="43"/>
  <c r="H105" i="43"/>
  <c r="H107" i="43"/>
  <c r="D22" i="43"/>
  <c r="J102" i="43"/>
  <c r="J104" i="43"/>
  <c r="E107" i="43"/>
  <c r="E109" i="43"/>
  <c r="D106" i="43"/>
  <c r="C23" i="43" s="1"/>
  <c r="C21" i="43" s="1"/>
  <c r="D107" i="43"/>
  <c r="C38" i="69"/>
  <c r="C35" i="69"/>
  <c r="AB10" i="40"/>
  <c r="U10" i="40"/>
  <c r="F10" i="39"/>
  <c r="S10" i="39" s="1"/>
  <c r="H10" i="39"/>
  <c r="J10" i="40"/>
  <c r="F10" i="40"/>
  <c r="S10" i="40" s="1"/>
  <c r="J10" i="39"/>
  <c r="E65" i="40"/>
  <c r="F63" i="40"/>
  <c r="I52" i="21"/>
  <c r="J52" i="21" s="1"/>
  <c r="R39" i="35"/>
  <c r="E38" i="35"/>
  <c r="G42" i="35"/>
  <c r="H42" i="35" s="1"/>
  <c r="G43" i="35"/>
  <c r="H43" i="35" s="1"/>
  <c r="E48" i="21"/>
  <c r="I53" i="21" s="1"/>
  <c r="J53" i="21" s="1"/>
  <c r="R49" i="21"/>
  <c r="R49" i="33"/>
  <c r="E48" i="33"/>
  <c r="G53" i="34"/>
  <c r="H53" i="34" s="1"/>
  <c r="G54" i="34"/>
  <c r="H54" i="34" s="1"/>
  <c r="I42" i="35"/>
  <c r="J42" i="35" s="1"/>
  <c r="I43" i="35"/>
  <c r="J43" i="35" s="1"/>
  <c r="G47" i="37"/>
  <c r="H47" i="37" s="1"/>
  <c r="G46" i="37"/>
  <c r="H46" i="37" s="1"/>
  <c r="D48" i="71"/>
  <c r="T48" i="71"/>
  <c r="D5" i="71"/>
  <c r="M20" i="43" s="1"/>
  <c r="C19" i="43" s="1"/>
  <c r="R43" i="37"/>
  <c r="E42" i="37"/>
  <c r="I47" i="37" s="1"/>
  <c r="J47" i="37" s="1"/>
  <c r="E49" i="34"/>
  <c r="R50" i="34"/>
  <c r="I46" i="37"/>
  <c r="J46" i="37" s="1"/>
  <c r="I52" i="33"/>
  <c r="J52" i="33" s="1"/>
  <c r="I53" i="33"/>
  <c r="J53" i="33" s="1"/>
  <c r="G52" i="33"/>
  <c r="H52" i="33" s="1"/>
  <c r="G53" i="33"/>
  <c r="H53" i="33" s="1"/>
  <c r="I53" i="34"/>
  <c r="J53" i="34" s="1"/>
  <c r="I54" i="34"/>
  <c r="J54" i="34" s="1"/>
  <c r="F46" i="36"/>
  <c r="G52" i="21"/>
  <c r="H52" i="21" s="1"/>
  <c r="G53" i="21"/>
  <c r="H53" i="21" s="1"/>
  <c r="N16" i="1"/>
  <c r="L16" i="1"/>
  <c r="D40" i="71"/>
  <c r="T40" i="71"/>
  <c r="N50" i="71"/>
  <c r="N49" i="71"/>
  <c r="C19" i="67"/>
  <c r="C20" i="67" s="1"/>
  <c r="J5" i="67"/>
  <c r="J24" i="67" s="1"/>
  <c r="J24" i="15"/>
  <c r="J26" i="15"/>
  <c r="J18" i="15"/>
  <c r="C10" i="67"/>
  <c r="C5" i="67" s="1"/>
  <c r="C53" i="67"/>
  <c r="C48" i="67" s="1"/>
  <c r="C10" i="15"/>
  <c r="C5" i="15" s="1"/>
  <c r="C53" i="15"/>
  <c r="C48" i="15" s="1"/>
  <c r="C16" i="79"/>
  <c r="C16" i="78"/>
  <c r="G1" i="73"/>
  <c r="C16" i="80"/>
  <c r="F41" i="15"/>
  <c r="S9" i="1" l="1"/>
  <c r="AQ9" i="1" s="1"/>
  <c r="D3" i="34"/>
  <c r="S10" i="1"/>
  <c r="E10" i="70" s="1"/>
  <c r="E66" i="39"/>
  <c r="AY23" i="3"/>
  <c r="AY476" i="3"/>
  <c r="C29" i="11"/>
  <c r="D27" i="11" s="1"/>
  <c r="H6" i="3"/>
  <c r="AC6" i="3"/>
  <c r="AY30" i="3"/>
  <c r="O16" i="1"/>
  <c r="C47" i="68"/>
  <c r="D45" i="68" s="1"/>
  <c r="D19" i="11"/>
  <c r="C19" i="11" s="1"/>
  <c r="C20" i="11" s="1"/>
  <c r="C28" i="11" s="1"/>
  <c r="C27" i="11" s="1"/>
  <c r="E6" i="6"/>
  <c r="D10" i="69" s="1"/>
  <c r="B40" i="1"/>
  <c r="F22" i="11" s="1"/>
  <c r="C26" i="11" s="1"/>
  <c r="D22" i="11" s="1"/>
  <c r="AY128" i="3"/>
  <c r="AY69" i="3"/>
  <c r="AY407" i="3"/>
  <c r="AY249" i="3"/>
  <c r="AY309" i="3"/>
  <c r="AY583" i="3"/>
  <c r="AY40" i="3"/>
  <c r="AY377" i="3"/>
  <c r="AY448" i="3"/>
  <c r="AY558" i="3"/>
  <c r="AY578" i="3"/>
  <c r="AY496" i="3"/>
  <c r="AY384" i="3"/>
  <c r="AY43" i="3"/>
  <c r="AY102" i="3"/>
  <c r="AY122" i="3"/>
  <c r="AY481" i="3"/>
  <c r="AY194" i="3"/>
  <c r="AY553" i="3"/>
  <c r="S11" i="1"/>
  <c r="E11" i="70" s="1"/>
  <c r="J24" i="80"/>
  <c r="J18" i="80"/>
  <c r="J26" i="80"/>
  <c r="C5" i="80"/>
  <c r="C38" i="80" s="1"/>
  <c r="L46" i="78"/>
  <c r="J26" i="78"/>
  <c r="J18" i="78"/>
  <c r="J24" i="78"/>
  <c r="F1" i="79"/>
  <c r="Q52" i="79"/>
  <c r="Q57" i="79"/>
  <c r="Q66" i="79"/>
  <c r="Q60" i="80"/>
  <c r="Q73" i="80"/>
  <c r="Q52" i="78"/>
  <c r="F1" i="78"/>
  <c r="Q61" i="79"/>
  <c r="Q74" i="79"/>
  <c r="Q73" i="79"/>
  <c r="Q60" i="79"/>
  <c r="Q52" i="80"/>
  <c r="F1" i="80"/>
  <c r="C49" i="80"/>
  <c r="C48" i="80" s="1"/>
  <c r="F22" i="69"/>
  <c r="C44" i="69" s="1"/>
  <c r="D41" i="69" s="1"/>
  <c r="AY511" i="3"/>
  <c r="AY391" i="3"/>
  <c r="AY55" i="3"/>
  <c r="AY346" i="3"/>
  <c r="AY192" i="3"/>
  <c r="AY524" i="3"/>
  <c r="AY267" i="3"/>
  <c r="AY503" i="3"/>
  <c r="AY181" i="3"/>
  <c r="AY141" i="3"/>
  <c r="AY436" i="3"/>
  <c r="AY252" i="3"/>
  <c r="AY208" i="3"/>
  <c r="AY347" i="3"/>
  <c r="AY564" i="3"/>
  <c r="AY435" i="3"/>
  <c r="AY146" i="3"/>
  <c r="AY147" i="3"/>
  <c r="AY329" i="3"/>
  <c r="AY495" i="3"/>
  <c r="AY246" i="3"/>
  <c r="AY428" i="3"/>
  <c r="C48" i="79"/>
  <c r="C60" i="79" s="1"/>
  <c r="F70" i="39"/>
  <c r="G68" i="39"/>
  <c r="Q74" i="78"/>
  <c r="Q61" i="78"/>
  <c r="Q60" i="78"/>
  <c r="Q73" i="78"/>
  <c r="C49" i="78"/>
  <c r="C48" i="78" s="1"/>
  <c r="L46" i="79"/>
  <c r="Q61" i="80"/>
  <c r="Q74" i="80"/>
  <c r="P17" i="43"/>
  <c r="M17" i="43"/>
  <c r="O17" i="43"/>
  <c r="N17" i="43"/>
  <c r="Q66" i="78"/>
  <c r="Q57" i="78"/>
  <c r="L46" i="80"/>
  <c r="Q66" i="80"/>
  <c r="Q57" i="80"/>
  <c r="AA10" i="39"/>
  <c r="AA10" i="40"/>
  <c r="K751" i="83"/>
  <c r="L751" i="83" s="1"/>
  <c r="K752" i="83"/>
  <c r="L752" i="83" s="1"/>
  <c r="J796" i="83"/>
  <c r="J780" i="83"/>
  <c r="J779" i="83"/>
  <c r="J778" i="83"/>
  <c r="J777" i="83"/>
  <c r="M776" i="83" s="1"/>
  <c r="K776" i="83"/>
  <c r="L776" i="83" s="1"/>
  <c r="K749" i="83"/>
  <c r="L749" i="83" s="1"/>
  <c r="K750" i="83"/>
  <c r="L750" i="83" s="1"/>
  <c r="M18" i="9"/>
  <c r="B118" i="9" s="1"/>
  <c r="B14" i="74" s="1"/>
  <c r="L18" i="9"/>
  <c r="AY586" i="3"/>
  <c r="BD6" i="3"/>
  <c r="AY338" i="3"/>
  <c r="AY241" i="3"/>
  <c r="AY184" i="3"/>
  <c r="BL6" i="3"/>
  <c r="AY456" i="3"/>
  <c r="AY378" i="3"/>
  <c r="AY135" i="3"/>
  <c r="AY63" i="3"/>
  <c r="AY542" i="3"/>
  <c r="AY415" i="3"/>
  <c r="AY337" i="3"/>
  <c r="AY21" i="3"/>
  <c r="AY520" i="3"/>
  <c r="AY449" i="3"/>
  <c r="AY258" i="3"/>
  <c r="BB6" i="3"/>
  <c r="AY255" i="3"/>
  <c r="AY198" i="3"/>
  <c r="AY540" i="3"/>
  <c r="AY379" i="3"/>
  <c r="AY489" i="3"/>
  <c r="AY139" i="3"/>
  <c r="AY474" i="3"/>
  <c r="AY175" i="3"/>
  <c r="AY421" i="3"/>
  <c r="AY296" i="3"/>
  <c r="AY548" i="3"/>
  <c r="AY304" i="3"/>
  <c r="AY508" i="3"/>
  <c r="AY356" i="3"/>
  <c r="AY222" i="3"/>
  <c r="AY89" i="3"/>
  <c r="AY425" i="3"/>
  <c r="AY191" i="3"/>
  <c r="AY468" i="3"/>
  <c r="AY251" i="3"/>
  <c r="AY582" i="3"/>
  <c r="AY414" i="3"/>
  <c r="AY41" i="3"/>
  <c r="AY170" i="3"/>
  <c r="AY342" i="3"/>
  <c r="D14" i="12"/>
  <c r="D17" i="12" s="1"/>
  <c r="C17" i="12" s="1"/>
  <c r="D3" i="33"/>
  <c r="D37" i="11"/>
  <c r="D3" i="37"/>
  <c r="C17" i="4"/>
  <c r="B4" i="52" s="1"/>
  <c r="B43" i="72" s="1"/>
  <c r="AY59" i="3"/>
  <c r="AY371" i="3"/>
  <c r="AY245" i="3"/>
  <c r="AY513" i="3"/>
  <c r="AY60" i="3"/>
  <c r="AY299" i="3"/>
  <c r="AY357" i="3"/>
  <c r="AY114" i="3"/>
  <c r="AY491" i="3"/>
  <c r="AY561" i="3"/>
  <c r="AY501" i="3"/>
  <c r="AY65" i="3"/>
  <c r="AY137" i="3"/>
  <c r="AY380" i="3"/>
  <c r="AY312" i="3"/>
  <c r="AY426" i="3"/>
  <c r="AY14" i="3"/>
  <c r="AY31" i="3"/>
  <c r="AY350" i="3"/>
  <c r="AY244" i="3"/>
  <c r="AY562" i="3"/>
  <c r="AY36" i="3"/>
  <c r="AY302" i="3"/>
  <c r="BS6" i="3"/>
  <c r="AY279" i="3"/>
  <c r="AY467" i="3"/>
  <c r="BN6" i="3"/>
  <c r="AY49" i="3"/>
  <c r="AY385" i="3"/>
  <c r="AY418" i="3"/>
  <c r="AY537" i="3"/>
  <c r="AY110" i="3"/>
  <c r="AY140" i="3"/>
  <c r="AY216" i="3"/>
  <c r="AY482" i="3"/>
  <c r="AY528" i="3"/>
  <c r="AY22" i="3"/>
  <c r="AY288" i="3"/>
  <c r="AY339" i="3"/>
  <c r="AY413"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65" i="3"/>
  <c r="AY570" i="3"/>
  <c r="AY99" i="3"/>
  <c r="AY46" i="3"/>
  <c r="AY156" i="3"/>
  <c r="AY285" i="3"/>
  <c r="AY232" i="3"/>
  <c r="AY362" i="3"/>
  <c r="AY469" i="3"/>
  <c r="AY437" i="3"/>
  <c r="AY560" i="3"/>
  <c r="AY91" i="3"/>
  <c r="AY38" i="3"/>
  <c r="AY148" i="3"/>
  <c r="AY277" i="3"/>
  <c r="AY224" i="3"/>
  <c r="AY354" i="3"/>
  <c r="AY490" i="3"/>
  <c r="AY429" i="3"/>
  <c r="M20" i="6"/>
  <c r="K27" i="6"/>
  <c r="M21" i="6"/>
  <c r="I21" i="6" s="1"/>
  <c r="S21" i="6" s="1"/>
  <c r="S8" i="1"/>
  <c r="AR8" i="1" s="1"/>
  <c r="C115" i="43"/>
  <c r="D113"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M19" i="9" s="1"/>
  <c r="C118" i="9" s="1"/>
  <c r="C14" i="74" s="1"/>
  <c r="B2" i="74" s="1"/>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04" i="3"/>
  <c r="AY74" i="3"/>
  <c r="AY196" i="3"/>
  <c r="AY567" i="3"/>
  <c r="AY15" i="3"/>
  <c r="AY432" i="3"/>
  <c r="AY322" i="3"/>
  <c r="AY375" i="3"/>
  <c r="AY272" i="3"/>
  <c r="AY136" i="3"/>
  <c r="AY195" i="3"/>
  <c r="AY39" i="3"/>
  <c r="AY576" i="3"/>
  <c r="AY13" i="3"/>
  <c r="AY440" i="3"/>
  <c r="AY330" i="3"/>
  <c r="AY383" i="3"/>
  <c r="AY233" i="3"/>
  <c r="AY120" i="3"/>
  <c r="AY203" i="3"/>
  <c r="AY47" i="3"/>
  <c r="AY563" i="3"/>
  <c r="AY530" i="3"/>
  <c r="AY575" i="3"/>
  <c r="AY399" i="3"/>
  <c r="AY461" i="3"/>
  <c r="AY321" i="3"/>
  <c r="AY235" i="3"/>
  <c r="AY205" i="3"/>
  <c r="AY577" i="3"/>
  <c r="AY518" i="3"/>
  <c r="AY525" i="3"/>
  <c r="AY454" i="3"/>
  <c r="AY340" i="3"/>
  <c r="AY226" i="3"/>
  <c r="AY150" i="3"/>
  <c r="AY93" i="3"/>
  <c r="AY389" i="3"/>
  <c r="AY239" i="3"/>
  <c r="AY126" i="3"/>
  <c r="AY182" i="3"/>
  <c r="AY53" i="3"/>
  <c r="BO6" i="3"/>
  <c r="AY404" i="3"/>
  <c r="AY355" i="3"/>
  <c r="AY199" i="3"/>
  <c r="AY486" i="3"/>
  <c r="AY220" i="3"/>
  <c r="AY292" i="3"/>
  <c r="AY132" i="3"/>
  <c r="AY82" i="3"/>
  <c r="AY506" i="3"/>
  <c r="AY439" i="3"/>
  <c r="AY458" i="3"/>
  <c r="AY471" i="3"/>
  <c r="AY344" i="3"/>
  <c r="AY364" i="3"/>
  <c r="AY234" i="3"/>
  <c r="AY287" i="3"/>
  <c r="AY158" i="3"/>
  <c r="AY48" i="3"/>
  <c r="AY101" i="3"/>
  <c r="AY494" i="3"/>
  <c r="BG6" i="3"/>
  <c r="AY571" i="3"/>
  <c r="AY581" i="3"/>
  <c r="AY457" i="3"/>
  <c r="AY317" i="3"/>
  <c r="AY274" i="3"/>
  <c r="AY197" i="3"/>
  <c r="BJ6" i="3"/>
  <c r="AY392" i="3"/>
  <c r="AY263" i="3"/>
  <c r="AY149" i="3"/>
  <c r="AY206" i="3"/>
  <c r="AY77" i="3"/>
  <c r="AY569" i="3"/>
  <c r="AY452" i="3"/>
  <c r="AY395" i="3"/>
  <c r="AY106" i="3"/>
  <c r="AY318" i="3"/>
  <c r="AY268" i="3"/>
  <c r="AY131" i="3"/>
  <c r="AY155" i="3"/>
  <c r="AY83" i="3"/>
  <c r="S7" i="1"/>
  <c r="T7" i="1" s="1"/>
  <c r="F69" i="15"/>
  <c r="J29" i="15"/>
  <c r="J24" i="79"/>
  <c r="J18" i="79"/>
  <c r="C38" i="79"/>
  <c r="C33" i="79"/>
  <c r="C32" i="79"/>
  <c r="C38" i="78"/>
  <c r="C33" i="78"/>
  <c r="C32" i="78"/>
  <c r="F34" i="11"/>
  <c r="F34" i="68"/>
  <c r="F11" i="12"/>
  <c r="AQ6" i="1"/>
  <c r="T6" i="1"/>
  <c r="AR6" i="1"/>
  <c r="AR12" i="1"/>
  <c r="AQ12" i="1"/>
  <c r="T12" i="1"/>
  <c r="S2" i="43"/>
  <c r="T2" i="43" s="1"/>
  <c r="V2" i="43" s="1"/>
  <c r="S3" i="43"/>
  <c r="T3" i="43" s="1"/>
  <c r="V3" i="43" s="1"/>
  <c r="S5" i="43"/>
  <c r="T5" i="43" s="1"/>
  <c r="V5" i="43" s="1"/>
  <c r="S6" i="43"/>
  <c r="T6" i="43" s="1"/>
  <c r="V6" i="43" s="1"/>
  <c r="S4" i="43"/>
  <c r="T4" i="43" s="1"/>
  <c r="V4" i="43" s="1"/>
  <c r="C12" i="12"/>
  <c r="S19" i="6"/>
  <c r="AB10" i="39"/>
  <c r="U10" i="39"/>
  <c r="W10" i="39"/>
  <c r="AC10" i="39"/>
  <c r="W10" i="40"/>
  <c r="AC10" i="40"/>
  <c r="G63" i="40"/>
  <c r="F65" i="40"/>
  <c r="C35" i="43"/>
  <c r="C36" i="43"/>
  <c r="C33" i="43"/>
  <c r="C34" i="43"/>
  <c r="C38" i="43"/>
  <c r="C29" i="43"/>
  <c r="T16" i="43"/>
  <c r="V16" i="43" s="1"/>
  <c r="T12" i="43"/>
  <c r="V12" i="43" s="1"/>
  <c r="T15" i="43"/>
  <c r="V15" i="43" s="1"/>
  <c r="T10" i="43"/>
  <c r="V10" i="43" s="1"/>
  <c r="C39" i="43"/>
  <c r="C37" i="43"/>
  <c r="T11" i="43"/>
  <c r="V11" i="43" s="1"/>
  <c r="T14" i="43"/>
  <c r="V14" i="43" s="1"/>
  <c r="T9" i="43"/>
  <c r="V9" i="43" s="1"/>
  <c r="T7" i="43"/>
  <c r="V7" i="43" s="1"/>
  <c r="T8" i="43"/>
  <c r="V8" i="43" s="1"/>
  <c r="T13" i="43"/>
  <c r="V13" i="43" s="1"/>
  <c r="C50" i="34"/>
  <c r="C49" i="34"/>
  <c r="E47" i="37"/>
  <c r="F47" i="37" s="1"/>
  <c r="E46" i="37"/>
  <c r="F46" i="37" s="1"/>
  <c r="C48" i="33"/>
  <c r="C49" i="33"/>
  <c r="E52" i="21"/>
  <c r="F52" i="21" s="1"/>
  <c r="E53" i="21"/>
  <c r="F53" i="21" s="1"/>
  <c r="C38" i="35"/>
  <c r="C39" i="35"/>
  <c r="B2" i="35" s="1"/>
  <c r="B3" i="35" s="1"/>
  <c r="F50" i="69"/>
  <c r="F50" i="11"/>
  <c r="F50" i="68"/>
  <c r="G46" i="36"/>
  <c r="E54" i="34"/>
  <c r="F54" i="34" s="1"/>
  <c r="E53" i="34"/>
  <c r="F53" i="34" s="1"/>
  <c r="C42" i="37"/>
  <c r="C43" i="37"/>
  <c r="E53" i="33"/>
  <c r="F53" i="33" s="1"/>
  <c r="E52" i="33"/>
  <c r="F52" i="33" s="1"/>
  <c r="C48" i="21"/>
  <c r="C49" i="21"/>
  <c r="B2" i="21" s="1"/>
  <c r="B3" i="21" s="1"/>
  <c r="E43" i="35"/>
  <c r="F43" i="35" s="1"/>
  <c r="E42" i="35"/>
  <c r="F42" i="35" s="1"/>
  <c r="J26" i="67"/>
  <c r="J29" i="67" s="1"/>
  <c r="J18" i="67"/>
  <c r="C60" i="15"/>
  <c r="C66" i="15"/>
  <c r="C32" i="15"/>
  <c r="C38" i="15"/>
  <c r="C32" i="67"/>
  <c r="C38" i="67"/>
  <c r="C26" i="67"/>
  <c r="C66" i="67"/>
  <c r="C60" i="67"/>
  <c r="C17" i="78"/>
  <c r="C17" i="80"/>
  <c r="AE10" i="1"/>
  <c r="C17" i="79"/>
  <c r="AE11" i="1"/>
  <c r="C17" i="15"/>
  <c r="AE9" i="1"/>
  <c r="B1" i="74" l="1"/>
  <c r="C8" i="74" s="1"/>
  <c r="O52" i="81"/>
  <c r="O54" i="81" s="1"/>
  <c r="T9" i="1"/>
  <c r="AQ10" i="1"/>
  <c r="D11" i="6"/>
  <c r="AR9" i="1"/>
  <c r="AR10" i="1"/>
  <c r="E9" i="70"/>
  <c r="T10" i="1"/>
  <c r="AQ11" i="1"/>
  <c r="D10" i="68"/>
  <c r="C10" i="68" s="1"/>
  <c r="B2" i="34"/>
  <c r="B3" i="34" s="1"/>
  <c r="C7" i="74"/>
  <c r="D10" i="11"/>
  <c r="C10" i="11" s="1"/>
  <c r="D29" i="6"/>
  <c r="E6" i="3"/>
  <c r="D22" i="6"/>
  <c r="D19" i="6"/>
  <c r="T11" i="1"/>
  <c r="AR11" i="1"/>
  <c r="F25" i="12"/>
  <c r="C26" i="12" s="1"/>
  <c r="D25" i="12" s="1"/>
  <c r="C66" i="79"/>
  <c r="F24" i="78"/>
  <c r="C24" i="78" s="1"/>
  <c r="F22" i="68"/>
  <c r="C26" i="68" s="1"/>
  <c r="D22" i="68" s="1"/>
  <c r="F24" i="15"/>
  <c r="C24" i="15" s="1"/>
  <c r="D20" i="12"/>
  <c r="C20" i="12" s="1"/>
  <c r="C18" i="12" s="1"/>
  <c r="C37" i="11"/>
  <c r="F24" i="80"/>
  <c r="C24" i="80" s="1"/>
  <c r="F24" i="79"/>
  <c r="C24" i="79" s="1"/>
  <c r="F24" i="67"/>
  <c r="C24" i="11"/>
  <c r="C23" i="11"/>
  <c r="C44" i="11"/>
  <c r="D41" i="11" s="1"/>
  <c r="C26" i="69"/>
  <c r="D22" i="69" s="1"/>
  <c r="C33" i="80"/>
  <c r="C32" i="80"/>
  <c r="C66" i="80"/>
  <c r="C60" i="80"/>
  <c r="C60" i="78"/>
  <c r="C66" i="78"/>
  <c r="G70" i="39"/>
  <c r="H68" i="39"/>
  <c r="K778" i="83"/>
  <c r="L778" i="83" s="1"/>
  <c r="K780" i="83"/>
  <c r="L780" i="83" s="1"/>
  <c r="K777" i="83"/>
  <c r="L777" i="83" s="1"/>
  <c r="K779" i="83"/>
  <c r="L779" i="83" s="1"/>
  <c r="J808" i="83"/>
  <c r="J799" i="83"/>
  <c r="J797" i="83"/>
  <c r="J800" i="83"/>
  <c r="J798" i="83"/>
  <c r="K796" i="83"/>
  <c r="L796" i="83" s="1"/>
  <c r="C25" i="11"/>
  <c r="H24" i="6"/>
  <c r="D6" i="6"/>
  <c r="H23" i="6"/>
  <c r="D23" i="6"/>
  <c r="B2" i="37"/>
  <c r="B3" i="37" s="1"/>
  <c r="B2" i="33"/>
  <c r="B3" i="33" s="1"/>
  <c r="H22" i="6"/>
  <c r="D10" i="6"/>
  <c r="D24" i="6"/>
  <c r="D25" i="6"/>
  <c r="D28" i="6"/>
  <c r="D5" i="6"/>
  <c r="C18" i="4"/>
  <c r="C4" i="52" s="1"/>
  <c r="B45" i="72" s="1"/>
  <c r="T8" i="1"/>
  <c r="H19" i="6"/>
  <c r="R19" i="6" s="1"/>
  <c r="H21" i="6"/>
  <c r="H25" i="6"/>
  <c r="L19" i="9"/>
  <c r="D9" i="6"/>
  <c r="D20" i="6"/>
  <c r="D21" i="6"/>
  <c r="D15" i="6"/>
  <c r="H26" i="6"/>
  <c r="E61" i="40"/>
  <c r="D13" i="6"/>
  <c r="D12" i="6"/>
  <c r="D14" i="6"/>
  <c r="D8" i="6"/>
  <c r="D26" i="6"/>
  <c r="R26" i="6" s="1"/>
  <c r="S16" i="1"/>
  <c r="AQ7" i="1"/>
  <c r="AR7" i="1"/>
  <c r="AQ8" i="1"/>
  <c r="E8" i="70"/>
  <c r="I20" i="6"/>
  <c r="M27" i="6"/>
  <c r="C14" i="12"/>
  <c r="C16" i="12" s="1"/>
  <c r="C36" i="68"/>
  <c r="C34" i="68"/>
  <c r="C36" i="11"/>
  <c r="C34" i="11"/>
  <c r="G65" i="40"/>
  <c r="H63" i="40"/>
  <c r="G37" i="43"/>
  <c r="I37" i="43" s="1"/>
  <c r="E37" i="43"/>
  <c r="G38" i="43"/>
  <c r="I38" i="43" s="1"/>
  <c r="E38" i="43"/>
  <c r="G33" i="43"/>
  <c r="I33" i="43" s="1"/>
  <c r="E33" i="43"/>
  <c r="G35" i="43"/>
  <c r="I35" i="43" s="1"/>
  <c r="E35" i="43"/>
  <c r="H46" i="36"/>
  <c r="D8" i="74"/>
  <c r="D7" i="74"/>
  <c r="G39" i="43"/>
  <c r="I39" i="43" s="1"/>
  <c r="E39" i="43"/>
  <c r="C30" i="43"/>
  <c r="E30" i="43" s="1"/>
  <c r="E29" i="43"/>
  <c r="G34" i="43"/>
  <c r="I34" i="43" s="1"/>
  <c r="E34" i="43"/>
  <c r="G36" i="43"/>
  <c r="I36" i="43" s="1"/>
  <c r="E36" i="43"/>
  <c r="D19" i="69"/>
  <c r="C10" i="69"/>
  <c r="C8" i="69" s="1"/>
  <c r="C5" i="69" s="1"/>
  <c r="C33" i="15"/>
  <c r="J59" i="15"/>
  <c r="J60" i="15" s="1"/>
  <c r="C14" i="78"/>
  <c r="C14" i="79"/>
  <c r="F41" i="79"/>
  <c r="F41" i="80"/>
  <c r="C14" i="80"/>
  <c r="F41" i="78"/>
  <c r="C14" i="15"/>
  <c r="C15" i="78" l="1"/>
  <c r="C18" i="78"/>
  <c r="E2" i="70"/>
  <c r="D19" i="68"/>
  <c r="D37" i="68" s="1"/>
  <c r="C37" i="68" s="1"/>
  <c r="C15" i="80"/>
  <c r="C18" i="80"/>
  <c r="D30" i="6"/>
  <c r="R22" i="6"/>
  <c r="R9" i="1" s="1"/>
  <c r="C18" i="79"/>
  <c r="C15" i="79"/>
  <c r="C22" i="11"/>
  <c r="C31" i="11" s="1"/>
  <c r="C21" i="12"/>
  <c r="C22" i="12" s="1"/>
  <c r="C44" i="68"/>
  <c r="D41" i="68" s="1"/>
  <c r="J29" i="80"/>
  <c r="F69" i="80"/>
  <c r="J29" i="79"/>
  <c r="F69" i="79"/>
  <c r="F69" i="78"/>
  <c r="J29" i="78"/>
  <c r="C24" i="67"/>
  <c r="C23" i="67"/>
  <c r="A10" i="51"/>
  <c r="B9" i="72" s="1"/>
  <c r="H70" i="39"/>
  <c r="I68" i="39"/>
  <c r="R24" i="6"/>
  <c r="R11" i="1" s="1"/>
  <c r="A7" i="51"/>
  <c r="B7" i="72" s="1"/>
  <c r="L800" i="83"/>
  <c r="K800" i="83"/>
  <c r="L797" i="83"/>
  <c r="K797" i="83"/>
  <c r="L798" i="83"/>
  <c r="K798" i="83"/>
  <c r="M796" i="83"/>
  <c r="K799" i="83"/>
  <c r="L799" i="83" s="1"/>
  <c r="J836" i="83"/>
  <c r="J812" i="83"/>
  <c r="J810" i="83"/>
  <c r="J811" i="83"/>
  <c r="J809" i="83"/>
  <c r="M808" i="83" s="1"/>
  <c r="K808" i="83"/>
  <c r="L808" i="83" s="1"/>
  <c r="R23" i="6"/>
  <c r="R10" i="1" s="1"/>
  <c r="D27" i="6"/>
  <c r="C15" i="15"/>
  <c r="C18" i="15"/>
  <c r="T16" i="1"/>
  <c r="R21" i="6"/>
  <c r="R8" i="1" s="1"/>
  <c r="D16" i="6"/>
  <c r="R25" i="6"/>
  <c r="R12" i="1" s="1"/>
  <c r="S20" i="6"/>
  <c r="S27" i="6" s="1"/>
  <c r="I27" i="6"/>
  <c r="H20" i="6"/>
  <c r="C35" i="11"/>
  <c r="C38" i="11"/>
  <c r="C35" i="68"/>
  <c r="C38" i="68"/>
  <c r="R6" i="1"/>
  <c r="C26" i="43"/>
  <c r="B2" i="43" s="1"/>
  <c r="C27" i="43"/>
  <c r="I63" i="40"/>
  <c r="H65" i="40"/>
  <c r="C19" i="69"/>
  <c r="C24" i="69" s="1"/>
  <c r="D37" i="69"/>
  <c r="C37" i="69" s="1"/>
  <c r="C33" i="69" s="1"/>
  <c r="C19" i="68"/>
  <c r="C23" i="69"/>
  <c r="I46" i="36"/>
  <c r="J46" i="36" s="1"/>
  <c r="K46" i="36" s="1"/>
  <c r="L46" i="36" s="1"/>
  <c r="M46" i="36" s="1"/>
  <c r="N46" i="36" s="1"/>
  <c r="O46" i="36" s="1"/>
  <c r="H7" i="36"/>
  <c r="J7" i="36"/>
  <c r="Q48" i="15"/>
  <c r="L46" i="15"/>
  <c r="M21" i="78"/>
  <c r="M21" i="79"/>
  <c r="M21" i="80"/>
  <c r="E6" i="76"/>
  <c r="M21" i="15"/>
  <c r="F35" i="78"/>
  <c r="B6" i="76"/>
  <c r="F35" i="79"/>
  <c r="F35" i="80"/>
  <c r="F35" i="15"/>
  <c r="C19" i="78" l="1"/>
  <c r="C20" i="78" s="1"/>
  <c r="C19" i="80"/>
  <c r="C20" i="80" s="1"/>
  <c r="C26" i="80" s="1"/>
  <c r="D31" i="6"/>
  <c r="I5" i="6" s="1"/>
  <c r="C19" i="79"/>
  <c r="C20" i="79" s="1"/>
  <c r="C23" i="79" s="1"/>
  <c r="J20" i="78"/>
  <c r="F63" i="78"/>
  <c r="C62" i="78" s="1"/>
  <c r="C34" i="78"/>
  <c r="C31" i="78" s="1"/>
  <c r="C29" i="67"/>
  <c r="C13" i="67" s="1"/>
  <c r="C37" i="67" s="1"/>
  <c r="I70" i="39"/>
  <c r="J68" i="39"/>
  <c r="J20" i="79"/>
  <c r="C34" i="79"/>
  <c r="C31" i="79" s="1"/>
  <c r="F63" i="79"/>
  <c r="C62" i="79" s="1"/>
  <c r="K811" i="83"/>
  <c r="L811" i="83" s="1"/>
  <c r="K812" i="83"/>
  <c r="L812" i="83" s="1"/>
  <c r="J839" i="83"/>
  <c r="J837" i="83"/>
  <c r="J840" i="83"/>
  <c r="J838" i="83"/>
  <c r="K836" i="83"/>
  <c r="L836" i="83" s="1"/>
  <c r="L809" i="83"/>
  <c r="K809" i="83"/>
  <c r="L810" i="83"/>
  <c r="K810" i="83"/>
  <c r="J20" i="80"/>
  <c r="C34" i="80"/>
  <c r="C31" i="80" s="1"/>
  <c r="F63" i="80"/>
  <c r="C62" i="80" s="1"/>
  <c r="C19" i="15"/>
  <c r="C20" i="15" s="1"/>
  <c r="C26" i="15" s="1"/>
  <c r="J20" i="15"/>
  <c r="F63" i="15"/>
  <c r="C62" i="15" s="1"/>
  <c r="C34" i="15"/>
  <c r="C31" i="15" s="1"/>
  <c r="R20" i="6"/>
  <c r="H27" i="6"/>
  <c r="C23" i="80"/>
  <c r="C29" i="80" s="1"/>
  <c r="C57" i="80" s="1"/>
  <c r="C26" i="78"/>
  <c r="I6" i="6"/>
  <c r="C11" i="39" s="1"/>
  <c r="C33" i="68"/>
  <c r="C39" i="68" s="1"/>
  <c r="C33" i="11"/>
  <c r="E2" i="76"/>
  <c r="F7" i="36"/>
  <c r="S7" i="36" s="1"/>
  <c r="J63" i="40"/>
  <c r="I65" i="40"/>
  <c r="C20" i="69"/>
  <c r="C28" i="69" s="1"/>
  <c r="C27" i="69" s="1"/>
  <c r="B2" i="76"/>
  <c r="U7" i="36"/>
  <c r="AB7" i="36"/>
  <c r="T36" i="36" s="1"/>
  <c r="G36" i="36" s="1"/>
  <c r="B3" i="43"/>
  <c r="C39" i="69"/>
  <c r="C42" i="69"/>
  <c r="AC7" i="36"/>
  <c r="V36" i="36" s="1"/>
  <c r="I36" i="36" s="1"/>
  <c r="W7" i="36"/>
  <c r="C24" i="68"/>
  <c r="C23" i="78" l="1"/>
  <c r="C29" i="78" s="1"/>
  <c r="C36" i="78" s="1"/>
  <c r="C26" i="79"/>
  <c r="C29" i="79" s="1"/>
  <c r="C57" i="79" s="1"/>
  <c r="J14" i="67"/>
  <c r="J13" i="67" s="1"/>
  <c r="J23" i="67" s="1"/>
  <c r="C33" i="67"/>
  <c r="C31" i="67" s="1"/>
  <c r="C36" i="67"/>
  <c r="Q70" i="67"/>
  <c r="C75" i="67"/>
  <c r="J59" i="67"/>
  <c r="J60" i="67" s="1"/>
  <c r="Q49" i="67"/>
  <c r="C56" i="67"/>
  <c r="C65" i="67" s="1"/>
  <c r="C57" i="67"/>
  <c r="C61" i="67" s="1"/>
  <c r="C59" i="67" s="1"/>
  <c r="J19" i="67"/>
  <c r="J17" i="67" s="1"/>
  <c r="C64" i="67"/>
  <c r="AA7" i="36"/>
  <c r="R36" i="36" s="1"/>
  <c r="J70" i="39"/>
  <c r="K68" i="39"/>
  <c r="K838" i="83"/>
  <c r="L838" i="83" s="1"/>
  <c r="M836" i="83"/>
  <c r="M842" i="83" s="1"/>
  <c r="K839" i="83"/>
  <c r="L839" i="83" s="1"/>
  <c r="K840" i="83"/>
  <c r="K842" i="83" s="1"/>
  <c r="J842" i="83"/>
  <c r="L837" i="83"/>
  <c r="K837" i="83"/>
  <c r="C23" i="15"/>
  <c r="C29" i="15" s="1"/>
  <c r="J14" i="15" s="1"/>
  <c r="J13" i="15" s="1"/>
  <c r="J23" i="15" s="1"/>
  <c r="R7" i="1"/>
  <c r="R16" i="1" s="1"/>
  <c r="R27" i="6"/>
  <c r="C36" i="80"/>
  <c r="J14" i="80"/>
  <c r="J13" i="80" s="1"/>
  <c r="J23" i="80" s="1"/>
  <c r="J19" i="80"/>
  <c r="J17" i="80" s="1"/>
  <c r="C13" i="80"/>
  <c r="C56" i="80" s="1"/>
  <c r="C65" i="80" s="1"/>
  <c r="Q49" i="80"/>
  <c r="C61" i="80"/>
  <c r="C59" i="80" s="1"/>
  <c r="C64" i="80"/>
  <c r="H11" i="39"/>
  <c r="J11" i="39"/>
  <c r="F11" i="39"/>
  <c r="C42" i="68"/>
  <c r="C42" i="11"/>
  <c r="C39" i="11"/>
  <c r="C43" i="11" s="1"/>
  <c r="B3" i="76"/>
  <c r="C25" i="69"/>
  <c r="C22" i="69" s="1"/>
  <c r="C31" i="69" s="1"/>
  <c r="K63" i="40"/>
  <c r="J65" i="40"/>
  <c r="I40" i="36"/>
  <c r="J40" i="36" s="1"/>
  <c r="C46" i="69"/>
  <c r="C45" i="69" s="1"/>
  <c r="C43" i="69"/>
  <c r="C41" i="69" s="1"/>
  <c r="C46" i="68"/>
  <c r="C45" i="68" s="1"/>
  <c r="C43" i="68"/>
  <c r="R37" i="36"/>
  <c r="E36" i="36"/>
  <c r="G40" i="36"/>
  <c r="H40" i="36" s="1"/>
  <c r="G41" i="36"/>
  <c r="H41" i="36" s="1"/>
  <c r="C36" i="79" l="1"/>
  <c r="J14" i="79"/>
  <c r="J22" i="79" s="1"/>
  <c r="C13" i="79"/>
  <c r="C75" i="79" s="1"/>
  <c r="J19" i="79"/>
  <c r="J17" i="79" s="1"/>
  <c r="Q49" i="79"/>
  <c r="J22" i="67"/>
  <c r="J16" i="67" s="1"/>
  <c r="J25" i="67" s="1"/>
  <c r="C30" i="67"/>
  <c r="C39" i="67" s="1"/>
  <c r="Q69" i="67" s="1"/>
  <c r="Q68" i="67" s="1"/>
  <c r="C58" i="67"/>
  <c r="C67" i="67" s="1"/>
  <c r="C68" i="67" s="1"/>
  <c r="C71" i="67" s="1"/>
  <c r="L46" i="67"/>
  <c r="Q48" i="67"/>
  <c r="L68" i="39"/>
  <c r="K70" i="39"/>
  <c r="L840" i="83"/>
  <c r="L842" i="83" s="1"/>
  <c r="C41" i="68"/>
  <c r="C49" i="68" s="1"/>
  <c r="C51" i="68" s="1"/>
  <c r="C75" i="80"/>
  <c r="Q49" i="15"/>
  <c r="J22" i="15"/>
  <c r="C13" i="15"/>
  <c r="C56" i="15" s="1"/>
  <c r="C65" i="15" s="1"/>
  <c r="C36" i="15"/>
  <c r="C57" i="15"/>
  <c r="J19" i="15"/>
  <c r="J17" i="15" s="1"/>
  <c r="J16" i="15" s="1"/>
  <c r="J25" i="15" s="1"/>
  <c r="J22" i="80"/>
  <c r="J16" i="80" s="1"/>
  <c r="J25" i="80" s="1"/>
  <c r="C37" i="80"/>
  <c r="C30" i="80" s="1"/>
  <c r="C39" i="80" s="1"/>
  <c r="C40" i="80" s="1"/>
  <c r="C43" i="80" s="1"/>
  <c r="Q70" i="80"/>
  <c r="J19" i="78"/>
  <c r="J17" i="78" s="1"/>
  <c r="C13" i="78"/>
  <c r="C57" i="78"/>
  <c r="J14" i="78"/>
  <c r="Q49" i="78"/>
  <c r="C58" i="80"/>
  <c r="C67" i="80" s="1"/>
  <c r="C68" i="80" s="1"/>
  <c r="C71" i="80" s="1"/>
  <c r="Q70" i="79"/>
  <c r="C61" i="79"/>
  <c r="C59" i="79" s="1"/>
  <c r="C64" i="79"/>
  <c r="W11" i="39"/>
  <c r="AC11" i="39"/>
  <c r="AA11" i="39"/>
  <c r="S11" i="39"/>
  <c r="AB11" i="39"/>
  <c r="U11" i="39"/>
  <c r="L57" i="78"/>
  <c r="C46" i="11"/>
  <c r="C45" i="11" s="1"/>
  <c r="C41" i="11"/>
  <c r="K65" i="40"/>
  <c r="L63" i="40"/>
  <c r="C49" i="69"/>
  <c r="C51" i="69" s="1"/>
  <c r="C52" i="69" s="1"/>
  <c r="B2" i="69" s="1"/>
  <c r="B3" i="69" s="1"/>
  <c r="C36" i="36"/>
  <c r="C37" i="36"/>
  <c r="B2" i="36" s="1"/>
  <c r="B3" i="36" s="1"/>
  <c r="E40" i="36"/>
  <c r="F40" i="36" s="1"/>
  <c r="E41" i="36"/>
  <c r="F41" i="36" s="1"/>
  <c r="I41" i="36"/>
  <c r="J41" i="36" s="1"/>
  <c r="L51" i="67"/>
  <c r="J13" i="79" l="1"/>
  <c r="J23" i="79" s="1"/>
  <c r="C37" i="79"/>
  <c r="C30" i="79" s="1"/>
  <c r="C39" i="79" s="1"/>
  <c r="C40" i="79" s="1"/>
  <c r="C56" i="79"/>
  <c r="C65" i="79" s="1"/>
  <c r="C58" i="79" s="1"/>
  <c r="C67" i="79" s="1"/>
  <c r="C68" i="79" s="1"/>
  <c r="C71" i="79" s="1"/>
  <c r="C80" i="67"/>
  <c r="C79" i="67" s="1"/>
  <c r="C40" i="67"/>
  <c r="Q56" i="67" s="1"/>
  <c r="L57" i="67"/>
  <c r="L60" i="67" s="1"/>
  <c r="Q66" i="67" s="1"/>
  <c r="Q67" i="67"/>
  <c r="L70" i="39"/>
  <c r="M68" i="39"/>
  <c r="C37" i="15"/>
  <c r="C30" i="15" s="1"/>
  <c r="C39" i="15" s="1"/>
  <c r="Q69" i="15" s="1"/>
  <c r="C75" i="15"/>
  <c r="Q70" i="15"/>
  <c r="C64" i="15"/>
  <c r="C61" i="15"/>
  <c r="C59" i="15" s="1"/>
  <c r="C80" i="80"/>
  <c r="C79" i="80" s="1"/>
  <c r="Q69" i="80"/>
  <c r="Q68" i="80" s="1"/>
  <c r="J16" i="79"/>
  <c r="J25" i="79" s="1"/>
  <c r="C80" i="79"/>
  <c r="C79" i="79" s="1"/>
  <c r="J13" i="78"/>
  <c r="J23" i="78" s="1"/>
  <c r="J22" i="78"/>
  <c r="C75" i="78"/>
  <c r="Q70" i="78"/>
  <c r="C37" i="78"/>
  <c r="C30" i="78" s="1"/>
  <c r="C39" i="78" s="1"/>
  <c r="C56" i="78"/>
  <c r="C65" i="78" s="1"/>
  <c r="C64" i="78"/>
  <c r="C61" i="78"/>
  <c r="C59" i="78" s="1"/>
  <c r="C46" i="80"/>
  <c r="Q56" i="80"/>
  <c r="Q62" i="80" s="1"/>
  <c r="C83" i="80"/>
  <c r="C82" i="80" s="1"/>
  <c r="Q65" i="80"/>
  <c r="Q75" i="80" s="1"/>
  <c r="B2" i="80"/>
  <c r="Q47" i="80"/>
  <c r="Q53" i="80" s="1"/>
  <c r="C49" i="11"/>
  <c r="C51" i="11" s="1"/>
  <c r="C52" i="11" s="1"/>
  <c r="B2" i="11" s="1"/>
  <c r="B3" i="11" s="1"/>
  <c r="L65" i="40"/>
  <c r="M63" i="40"/>
  <c r="C57" i="69"/>
  <c r="C56" i="69" s="1"/>
  <c r="L51" i="79"/>
  <c r="AO10" i="1"/>
  <c r="L51" i="80"/>
  <c r="L51" i="78"/>
  <c r="Q69" i="79" l="1"/>
  <c r="Q68" i="79" s="1"/>
  <c r="Q67" i="79"/>
  <c r="C43" i="67"/>
  <c r="C45" i="67"/>
  <c r="C46" i="67" s="1"/>
  <c r="D2" i="67"/>
  <c r="B3" i="67" s="1"/>
  <c r="Q47" i="67"/>
  <c r="Q53" i="67" s="1"/>
  <c r="C83" i="67"/>
  <c r="C82" i="67" s="1"/>
  <c r="Q65" i="67"/>
  <c r="Q75" i="67" s="1"/>
  <c r="Q57" i="67"/>
  <c r="Q62" i="67" s="1"/>
  <c r="N68" i="39"/>
  <c r="M70" i="39"/>
  <c r="Q67" i="80"/>
  <c r="Q68" i="15"/>
  <c r="C80" i="15"/>
  <c r="C79" i="15" s="1"/>
  <c r="C40" i="15"/>
  <c r="C58" i="15"/>
  <c r="C67" i="15" s="1"/>
  <c r="C68" i="15" s="1"/>
  <c r="C58" i="78"/>
  <c r="C67" i="78" s="1"/>
  <c r="C68" i="78" s="1"/>
  <c r="C71" i="78" s="1"/>
  <c r="Q67" i="78"/>
  <c r="J16" i="78"/>
  <c r="J25" i="78" s="1"/>
  <c r="C40" i="78"/>
  <c r="Q69" i="78"/>
  <c r="Q68" i="78" s="1"/>
  <c r="C80" i="78"/>
  <c r="C79" i="78" s="1"/>
  <c r="B10" i="70"/>
  <c r="G8" i="12"/>
  <c r="B3" i="80"/>
  <c r="G6" i="12" s="1"/>
  <c r="B2" i="79"/>
  <c r="H8" i="12" s="1"/>
  <c r="C83" i="79"/>
  <c r="C82" i="79" s="1"/>
  <c r="Q47" i="79"/>
  <c r="Q53" i="79" s="1"/>
  <c r="Q56" i="79"/>
  <c r="Q62" i="79" s="1"/>
  <c r="Q65" i="79"/>
  <c r="Q75" i="79" s="1"/>
  <c r="C43" i="79"/>
  <c r="C46" i="79"/>
  <c r="C56" i="11"/>
  <c r="C57" i="11" s="1"/>
  <c r="N63" i="40"/>
  <c r="M65" i="40"/>
  <c r="L51" i="15"/>
  <c r="AO11" i="1"/>
  <c r="B2" i="67" l="1"/>
  <c r="L57" i="15"/>
  <c r="L60" i="15" s="1"/>
  <c r="Q66" i="15" s="1"/>
  <c r="Q67" i="15"/>
  <c r="N70" i="39"/>
  <c r="O68" i="39"/>
  <c r="O70" i="39" s="1"/>
  <c r="Q56" i="15"/>
  <c r="C43" i="15"/>
  <c r="B2" i="15"/>
  <c r="Q65" i="15"/>
  <c r="C83" i="15"/>
  <c r="C82" i="15" s="1"/>
  <c r="Q47" i="15"/>
  <c r="Q53" i="15" s="1"/>
  <c r="C71" i="15"/>
  <c r="C46" i="15"/>
  <c r="Q47" i="78"/>
  <c r="Q53" i="78" s="1"/>
  <c r="Q56" i="78"/>
  <c r="Q62" i="78" s="1"/>
  <c r="Q65" i="78"/>
  <c r="Q75" i="78" s="1"/>
  <c r="B2" i="78"/>
  <c r="C43" i="78"/>
  <c r="C83" i="78"/>
  <c r="C82" i="78" s="1"/>
  <c r="C46" i="78"/>
  <c r="B11" i="70"/>
  <c r="B3" i="79"/>
  <c r="H6" i="12" s="1"/>
  <c r="H7" i="40"/>
  <c r="O63" i="40"/>
  <c r="O65" i="40" s="1"/>
  <c r="N65" i="40"/>
  <c r="AO8" i="1"/>
  <c r="AO9" i="1"/>
  <c r="Q57" i="15" l="1"/>
  <c r="Q62" i="15" s="1"/>
  <c r="Q75" i="15"/>
  <c r="J7" i="39"/>
  <c r="F7" i="39"/>
  <c r="H7" i="39"/>
  <c r="B8" i="70"/>
  <c r="E8" i="12"/>
  <c r="B3" i="15"/>
  <c r="E6" i="12" s="1"/>
  <c r="B9" i="70"/>
  <c r="B3" i="78"/>
  <c r="F6" i="12" s="1"/>
  <c r="F8" i="12"/>
  <c r="J7" i="40"/>
  <c r="F7" i="40"/>
  <c r="AB7" i="40"/>
  <c r="T42" i="40" s="1"/>
  <c r="G42" i="40" s="1"/>
  <c r="U7" i="40"/>
  <c r="AA7" i="39" l="1"/>
  <c r="R47" i="39" s="1"/>
  <c r="S7" i="39"/>
  <c r="U7" i="39"/>
  <c r="AB7" i="39"/>
  <c r="T47" i="39" s="1"/>
  <c r="G47" i="39" s="1"/>
  <c r="W7" i="39"/>
  <c r="AC7" i="39"/>
  <c r="V47" i="39" s="1"/>
  <c r="I47" i="39" s="1"/>
  <c r="I51" i="39" s="1"/>
  <c r="J51" i="39" s="1"/>
  <c r="C4" i="12"/>
  <c r="C23" i="12" s="1"/>
  <c r="C27" i="12" s="1"/>
  <c r="C25" i="12" s="1"/>
  <c r="B2" i="70"/>
  <c r="B3" i="70" s="1"/>
  <c r="S7" i="40"/>
  <c r="AA7" i="40"/>
  <c r="R42" i="40" s="1"/>
  <c r="G46" i="40"/>
  <c r="H46" i="40" s="1"/>
  <c r="AC7" i="40"/>
  <c r="V42" i="40" s="1"/>
  <c r="I42" i="40" s="1"/>
  <c r="I46" i="40" s="1"/>
  <c r="J46" i="40" s="1"/>
  <c r="W7" i="40"/>
  <c r="G51" i="39" l="1"/>
  <c r="H51" i="39" s="1"/>
  <c r="G52" i="39"/>
  <c r="H52" i="39" s="1"/>
  <c r="R48" i="39"/>
  <c r="E47" i="39"/>
  <c r="C31" i="12"/>
  <c r="C30" i="12"/>
  <c r="C28" i="12" s="1"/>
  <c r="R43" i="40"/>
  <c r="E42" i="40"/>
  <c r="G47" i="40"/>
  <c r="H47" i="40" s="1"/>
  <c r="I52" i="39" l="1"/>
  <c r="J52" i="39" s="1"/>
  <c r="E51" i="39"/>
  <c r="F51" i="39" s="1"/>
  <c r="E52" i="39"/>
  <c r="F52" i="39" s="1"/>
  <c r="C48" i="39"/>
  <c r="C47" i="39"/>
  <c r="C32" i="12"/>
  <c r="B2" i="12" s="1"/>
  <c r="I47" i="40"/>
  <c r="J47" i="40" s="1"/>
  <c r="E47" i="40"/>
  <c r="F47" i="40" s="1"/>
  <c r="E46" i="40"/>
  <c r="F46" i="40" s="1"/>
  <c r="C42" i="40"/>
  <c r="C43" i="40"/>
  <c r="D19" i="9"/>
  <c r="B61" i="39" l="1"/>
  <c r="F61" i="39" s="1"/>
  <c r="B56" i="39"/>
  <c r="F56" i="39" s="1"/>
  <c r="B59" i="39"/>
  <c r="F59" i="39" s="1"/>
  <c r="B65" i="39"/>
  <c r="F65" i="39" s="1"/>
  <c r="B63" i="39"/>
  <c r="F63" i="39" s="1"/>
  <c r="B60" i="39"/>
  <c r="F60" i="39" s="1"/>
  <c r="B58" i="39"/>
  <c r="F58" i="39" s="1"/>
  <c r="B64" i="39"/>
  <c r="F64" i="39" s="1"/>
  <c r="B57" i="39"/>
  <c r="F57" i="39" s="1"/>
  <c r="B62" i="39"/>
  <c r="F62" i="39" s="1"/>
  <c r="D21" i="9"/>
  <c r="D102" i="9"/>
  <c r="B3" i="12"/>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D20" i="9"/>
  <c r="F66" i="39" l="1"/>
  <c r="B2" i="39" s="1"/>
  <c r="D103" i="9"/>
  <c r="B3" i="39" l="1"/>
  <c r="C6" i="68"/>
  <c r="C7" i="68" s="1"/>
  <c r="C5" i="68" s="1"/>
  <c r="C20" i="68" l="1"/>
  <c r="C25" i="68" s="1"/>
  <c r="C23" i="68"/>
  <c r="C28" i="68"/>
  <c r="C27" i="68" s="1"/>
  <c r="C22" i="68" l="1"/>
  <c r="C31" i="68" s="1"/>
  <c r="C52" i="68" s="1"/>
  <c r="B2" i="68" l="1"/>
  <c r="C57" i="68"/>
  <c r="C56" i="68" s="1"/>
  <c r="C19" i="9"/>
  <c r="C21" i="9" l="1"/>
  <c r="C102" i="9"/>
  <c r="D22" i="9"/>
  <c r="G19" i="9"/>
  <c r="B3" i="68"/>
  <c r="D34" i="9"/>
  <c r="D35" i="9"/>
  <c r="C20" i="9"/>
  <c r="C103" i="9" l="1"/>
  <c r="G20" i="9"/>
  <c r="C32" i="9"/>
  <c r="G21" i="9"/>
  <c r="C35" i="9" l="1"/>
  <c r="F118" i="9" s="1"/>
  <c r="H118" i="9"/>
  <c r="C34" i="9" l="1"/>
  <c r="D118" i="9" s="1"/>
  <c r="D119" i="9" s="1"/>
  <c r="D5" i="52" s="1"/>
  <c r="B49" i="72" s="1"/>
  <c r="H119" i="9"/>
  <c r="H5" i="52" s="1"/>
  <c r="H4" i="52"/>
  <c r="D14" i="74"/>
  <c r="I118" i="9"/>
  <c r="H101" i="9"/>
  <c r="C104" i="9"/>
  <c r="G118" i="9"/>
  <c r="G4" i="52" s="1"/>
  <c r="B52" i="72" s="1"/>
  <c r="F4" i="52"/>
  <c r="B51" i="72" s="1"/>
  <c r="F119" i="9"/>
  <c r="F5" i="52" s="1"/>
  <c r="B53" i="72" s="1"/>
  <c r="D4" i="52" l="1"/>
  <c r="B47" i="72" s="1"/>
  <c r="D45" i="9"/>
  <c r="H107" i="9"/>
  <c r="M48" i="9"/>
  <c r="D5" i="53"/>
  <c r="F14" i="74"/>
  <c r="E14" i="74"/>
  <c r="H102" i="9"/>
  <c r="D7" i="53" s="1"/>
  <c r="B21" i="72" s="1"/>
  <c r="I4" i="52"/>
  <c r="C105" i="9"/>
  <c r="E118" i="9"/>
  <c r="E4" i="52" s="1"/>
  <c r="B48" i="72" s="1"/>
  <c r="D6" i="53" l="1"/>
  <c r="B22" i="72" s="1"/>
  <c r="B20" i="72"/>
  <c r="D13" i="53"/>
  <c r="D122" i="9"/>
  <c r="M49" i="9"/>
  <c r="H108" i="9"/>
  <c r="D15" i="53" s="1"/>
  <c r="B31" i="72" s="1"/>
  <c r="C93" i="9"/>
  <c r="C86" i="9" s="1"/>
  <c r="D53" i="9"/>
  <c r="C72" i="9"/>
  <c r="D52" i="9"/>
  <c r="C64" i="9"/>
  <c r="C63" i="9" s="1"/>
  <c r="C67" i="9" s="1"/>
  <c r="C68" i="9" s="1"/>
  <c r="D54" i="9" s="1"/>
  <c r="C85" i="9"/>
  <c r="C78" i="9"/>
  <c r="C73" i="9" s="1"/>
  <c r="D55" i="9"/>
  <c r="M53" i="9" s="1"/>
  <c r="L68" i="9" l="1"/>
  <c r="M68" i="9" s="1"/>
  <c r="L66" i="9"/>
  <c r="M66" i="9" s="1"/>
  <c r="L63" i="9"/>
  <c r="M63" i="9" s="1"/>
  <c r="L65" i="9"/>
  <c r="M65" i="9" s="1"/>
  <c r="L64" i="9"/>
  <c r="M64" i="9" s="1"/>
  <c r="L67" i="9"/>
  <c r="M67" i="9" s="1"/>
  <c r="B30" i="72"/>
  <c r="D14" i="53"/>
  <c r="B32" i="72" s="1"/>
  <c r="C95" i="9"/>
  <c r="D8" i="52"/>
  <c r="D123" i="9"/>
  <c r="D9" i="52" s="1"/>
  <c r="G14" i="74"/>
  <c r="B6" i="74" s="1"/>
  <c r="C79" i="9"/>
  <c r="D6" i="74" l="1"/>
  <c r="C6" i="74"/>
  <c r="C80" i="9"/>
  <c r="E80" i="9" s="1"/>
  <c r="E81" i="9" s="1"/>
  <c r="C96" i="9"/>
  <c r="E96" i="9" s="1"/>
  <c r="E97" i="9" s="1"/>
  <c r="M69" i="9"/>
  <c r="N69" i="9" s="1"/>
  <c r="C81" i="9" l="1"/>
  <c r="C97" i="9"/>
  <c r="D58" i="9" s="1"/>
  <c r="D56" i="9" s="1"/>
  <c r="M54" i="9" s="1"/>
  <c r="N57" i="9" s="1"/>
  <c r="D15" i="74"/>
  <c r="P57" i="9" l="1"/>
  <c r="N58" i="9"/>
  <c r="N59" i="9"/>
  <c r="F15" i="74"/>
  <c r="E15" i="74"/>
  <c r="B5" i="74"/>
  <c r="N61" i="9" l="1"/>
  <c r="N60" i="9"/>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<sst xmlns="http://schemas.openxmlformats.org/spreadsheetml/2006/main" count="9795" uniqueCount="3569">
  <si>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</si>
  <si>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</si>
  <si>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</si>
  <si>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</si>
  <si>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</si>
  <si>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</si>
  <si>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</si>
  <si>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</si>
  <si>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</si>
  <si>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</si>
  <si>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</si>
  <si>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</si>
  <si>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</si>
  <si>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</si>
  <si>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</si>
  <si>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</si>
  <si>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</si>
  <si>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</si>
  <si>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</si>
  <si>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</si>
  <si>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</si>
  <si>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</si>
  <si>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</si>
  <si>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</si>
  <si>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</si>
  <si>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</si>
  <si>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</si>
  <si>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</si>
  <si>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</si>
  <si>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</si>
  <si>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</si>
  <si>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</si>
  <si>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</si>
  <si>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</si>
  <si>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</si>
  <si>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</si>
  <si>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</si>
  <si>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</si>
  <si>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</si>
  <si>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</si>
  <si>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</si>
  <si>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</si>
  <si>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</si>
  <si>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</si>
  <si>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</si>
  <si>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</si>
  <si>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</si>
  <si>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</si>
  <si>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</si>
  <si>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</si>
  <si>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</si>
  <si>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</si>
  <si>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</si>
  <si>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</si>
  <si>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</si>
  <si>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</si>
  <si>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</si>
  <si>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</si>
  <si>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</si>
  <si>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</si>
  <si>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</si>
  <si>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</si>
  <si>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</si>
  <si>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</si>
  <si>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</si>
  <si>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</si>
  <si>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</si>
  <si>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</si>
  <si>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</si>
  <si>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</si>
  <si>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</si>
  <si>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</si>
  <si>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</si>
  <si>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</si>
  <si>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</si>
  <si>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</si>
  <si>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</si>
  <si>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</si>
  <si>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</si>
  <si>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</si>
  <si>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</si>
  <si>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</si>
  <si>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</si>
  <si>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</si>
  <si>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</si>
  <si>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</si>
  <si>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</si>
  <si>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</si>
  <si>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</si>
  <si>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</si>
  <si>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</si>
  <si>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</si>
  <si>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</si>
  <si>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</si>
  <si>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</si>
  <si>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</si>
  <si>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</si>
  <si>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</si>
  <si>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</si>
  <si>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</si>
  <si>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</si>
  <si>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</si>
  <si>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</si>
  <si>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</si>
  <si>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</si>
  <si>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</si>
  <si>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</si>
  <si>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</si>
  <si>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</si>
  <si>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</si>
  <si>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</si>
  <si>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</si>
  <si>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</si>
  <si>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</si>
  <si>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</si>
  <si>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</si>
  <si>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</si>
  <si>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</si>
  <si>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</si>
  <si>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</si>
  <si>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</si>
  <si>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</si>
  <si>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</si>
  <si>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</si>
  <si>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</si>
  <si>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</si>
  <si>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</si>
  <si>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</si>
  <si>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</si>
  <si>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</si>
  <si>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</si>
  <si>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</si>
  <si>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</si>
  <si>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</si>
  <si>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</si>
  <si>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</si>
  <si>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</si>
  <si>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</si>
  <si>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</si>
  <si>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</si>
  <si>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</si>
  <si>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</si>
  <si>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</si>
  <si>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</si>
  <si>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</si>
  <si>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</si>
  <si>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</si>
  <si>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</si>
  <si>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</si>
  <si>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</si>
  <si>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</si>
  <si>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</si>
  <si>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</si>
  <si>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</si>
  <si>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</si>
  <si>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</si>
  <si>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</si>
  <si>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</si>
  <si>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</si>
  <si>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</si>
  <si>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</si>
  <si>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</si>
  <si>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</si>
  <si>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</si>
  <si>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</si>
  <si>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</si>
  <si>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</si>
  <si>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</si>
  <si>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</si>
  <si>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</si>
  <si>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</si>
  <si>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</si>
  <si>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</si>
  <si>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</si>
  <si>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</si>
  <si>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</si>
  <si>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</si>
  <si>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</si>
  <si>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</si>
  <si>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</si>
  <si>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</si>
  <si>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</si>
  <si>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</si>
  <si>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</si>
  <si>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</si>
  <si>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</si>
  <si>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</si>
  <si>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</si>
  <si>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</si>
  <si>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</si>
  <si>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</si>
  <si>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</si>
  <si>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</si>
  <si>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</si>
  <si>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</si>
  <si>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</si>
  <si>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</si>
  <si>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</si>
  <si>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</si>
  <si>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</si>
  <si>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</si>
  <si>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</si>
  <si>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</si>
  <si>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</si>
  <si>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</si>
  <si>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</si>
  <si>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</si>
  <si>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</si>
  <si>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</si>
  <si>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</si>
  <si>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</si>
  <si>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</si>
  <si>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</si>
  <si>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</si>
  <si>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</si>
  <si>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</si>
  <si>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</si>
  <si>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</si>
  <si>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</si>
  <si>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</si>
  <si>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</si>
  <si>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</si>
  <si>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</si>
  <si>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</si>
  <si>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</si>
  <si>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</si>
  <si>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</si>
  <si>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</si>
  <si>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</si>
  <si>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</si>
  <si>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</si>
  <si>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</si>
  <si>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</si>
  <si>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</si>
  <si>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</si>
  <si>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</si>
  <si>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</si>
  <si>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</si>
  <si>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</si>
  <si>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</si>
  <si>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</si>
  <si>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</si>
  <si>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</si>
  <si>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</si>
  <si>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</si>
  <si>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</si>
  <si>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</si>
  <si>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</si>
  <si>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</si>
  <si>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</si>
  <si>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</si>
  <si>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</si>
  <si>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</si>
  <si>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</si>
  <si>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</si>
  <si>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</si>
  <si>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</si>
  <si>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</si>
  <si>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</si>
  <si>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</si>
  <si>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</si>
  <si>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</si>
  <si>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</si>
  <si>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</si>
  <si>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</si>
  <si>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</si>
  <si>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</si>
  <si>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</si>
  <si>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</si>
  <si>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</si>
  <si>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</si>
  <si>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</si>
  <si>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</si>
  <si>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</si>
  <si>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</si>
  <si>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</si>
  <si>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</si>
  <si>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</si>
  <si>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</si>
  <si>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</si>
  <si>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</si>
  <si>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</si>
  <si>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</si>
  <si>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</si>
  <si>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</si>
  <si>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</si>
  <si>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</si>
  <si>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</si>
  <si>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</si>
  <si>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</si>
  <si>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</si>
  <si>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</si>
  <si>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</si>
  <si>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</si>
  <si>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</si>
  <si>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</si>
  <si>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</si>
  <si>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</si>
  <si>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</si>
  <si>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</si>
  <si>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</si>
  <si>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</si>
  <si>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</si>
  <si>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</si>
  <si>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</si>
  <si>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</si>
  <si>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</si>
  <si>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</si>
  <si>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</si>
  <si>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</si>
  <si>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</si>
  <si>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</si>
  <si>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</si>
  <si>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</si>
  <si>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</si>
  <si>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</si>
  <si>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</si>
  <si>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</si>
  <si>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</si>
  <si>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</si>
  <si>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</si>
  <si>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</si>
  <si>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</si>
  <si>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</si>
  <si>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</si>
  <si>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</si>
  <si>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</si>
  <si>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</si>
  <si>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</si>
  <si>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</si>
  <si>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</si>
  <si>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</si>
  <si>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</si>
  <si>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</si>
  <si>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</si>
  <si>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</si>
  <si>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</si>
  <si>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</si>
  <si>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</si>
  <si>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</si>
  <si>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</si>
  <si>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</si>
  <si>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</si>
  <si>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</si>
  <si>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</si>
  <si>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</si>
  <si>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</si>
  <si>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</si>
  <si>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</si>
  <si>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</si>
  <si>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</si>
  <si>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</si>
  <si>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</si>
  <si>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</si>
  <si>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</si>
  <si>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</si>
  <si>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</si>
  <si>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</si>
  <si>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</si>
  <si>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</si>
  <si>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</si>
  <si>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</si>
  <si>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</si>
  <si>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</si>
  <si>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</si>
  <si>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</si>
  <si>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</si>
  <si>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</si>
  <si>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</si>
  <si>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</si>
  <si>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</si>
  <si>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</si>
  <si>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</si>
  <si>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</si>
  <si>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</si>
  <si>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</si>
  <si>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</si>
  <si>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</si>
  <si>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</si>
  <si>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</si>
  <si>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</si>
  <si>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</si>
  <si>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</si>
  <si>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</si>
  <si>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</si>
  <si>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</si>
  <si>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</si>
  <si>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</si>
  <si>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</si>
  <si>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</si>
  <si>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</si>
  <si>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</si>
  <si>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</si>
  <si>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</si>
  <si>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</si>
  <si>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</si>
  <si>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</si>
  <si>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</si>
  <si>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</si>
  <si>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</si>
  <si>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</si>
  <si>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</si>
  <si>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</si>
  <si>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</si>
  <si>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</si>
  <si>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</si>
  <si>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</si>
  <si>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</si>
  <si>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</si>
  <si>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</si>
  <si>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</si>
  <si>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</si>
  <si>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</si>
  <si>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</si>
  <si>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</si>
  <si>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</si>
  <si>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</si>
  <si>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</si>
  <si>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</si>
  <si>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</si>
  <si>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</si>
  <si>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</si>
  <si>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</si>
  <si>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</si>
  <si>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</si>
  <si>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</si>
  <si>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</si>
  <si>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</si>
  <si>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</si>
  <si>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</si>
  <si>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</si>
  <si>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</si>
  <si>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</si>
  <si>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</si>
  <si>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</si>
  <si>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</si>
  <si>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</si>
  <si>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</si>
  <si>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</si>
  <si>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</si>
  <si>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</si>
  <si>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</si>
  <si>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</si>
  <si>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</si>
  <si>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</si>
  <si>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</si>
  <si>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</si>
  <si>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</si>
  <si>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</si>
  <si>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</si>
  <si>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</si>
  <si>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</si>
  <si>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</si>
  <si>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</si>
  <si>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</si>
  <si>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</si>
  <si>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</si>
  <si>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</si>
  <si>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</si>
  <si>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</si>
  <si>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</si>
  <si>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</si>
  <si>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</si>
  <si>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</si>
  <si>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</si>
  <si>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</si>
  <si>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</si>
  <si>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</si>
  <si>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</si>
  <si>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</si>
  <si>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</si>
  <si>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</si>
  <si>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</si>
  <si>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</si>
  <si>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</si>
  <si>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</si>
  <si>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</si>
  <si>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</si>
  <si>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</si>
  <si>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</si>
  <si>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</si>
  <si>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</si>
  <si>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</si>
  <si>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</si>
  <si>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</si>
  <si>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</si>
  <si>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</si>
  <si>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</si>
  <si>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</si>
  <si>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</si>
  <si>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</si>
  <si>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</si>
  <si>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</si>
  <si>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</si>
  <si>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</si>
  <si>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</si>
  <si>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</si>
  <si>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</si>
  <si>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</si>
  <si>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</si>
  <si>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</si>
  <si>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</si>
  <si>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</si>
  <si>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</si>
  <si>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</si>
  <si>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</si>
  <si>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</si>
  <si>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</si>
  <si>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</si>
  <si>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</si>
  <si>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</si>
  <si>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</si>
  <si>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</si>
  <si>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</si>
  <si>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</si>
  <si>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</si>
  <si>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</si>
  <si>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</si>
  <si>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</si>
  <si>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</si>
  <si>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</si>
  <si>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</si>
  <si>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</si>
  <si>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</si>
  <si>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</si>
  <si>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</si>
  <si>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</si>
  <si>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</si>
  <si>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</si>
  <si>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</si>
  <si>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</si>
  <si>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</si>
  <si>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</si>
  <si>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</si>
  <si>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</si>
  <si>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</si>
  <si>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</si>
  <si>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</si>
  <si>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</si>
  <si>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</si>
  <si>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</si>
  <si>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</si>
  <si>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</si>
  <si>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</si>
  <si>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</si>
  <si>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</si>
  <si>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</si>
  <si>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</si>
  <si>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</si>
  <si>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</si>
  <si>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</si>
  <si>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</si>
  <si>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</si>
  <si>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</si>
  <si>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</si>
  <si>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</si>
  <si>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</si>
  <si>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</si>
  <si>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</si>
  <si>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</si>
  <si>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</si>
  <si>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</si>
  <si>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</si>
  <si>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</si>
  <si>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</si>
  <si>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</si>
  <si>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</si>
  <si>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</si>
  <si>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</si>
  <si>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</si>
  <si>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</si>
  <si>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</si>
  <si>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</si>
  <si>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</si>
  <si>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</si>
  <si>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</si>
  <si>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</si>
  <si>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</si>
  <si>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</si>
  <si>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</si>
  <si>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</si>
  <si>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</si>
  <si>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</si>
  <si>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</si>
  <si>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</si>
  <si>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</si>
  <si>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</si>
  <si>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</si>
  <si>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</si>
  <si>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</si>
  <si>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</si>
  <si>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</si>
  <si>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</si>
  <si>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</si>
  <si>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</si>
  <si>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</si>
  <si>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</si>
  <si>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</si>
  <si>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</si>
  <si>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</si>
  <si>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</si>
  <si>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</si>
  <si>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</si>
  <si>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</si>
  <si>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</si>
  <si>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</si>
  <si>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</si>
  <si>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</si>
  <si>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</si>
  <si>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</si>
  <si>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</si>
  <si>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</si>
  <si>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</si>
  <si>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</si>
  <si>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</si>
  <si>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</si>
  <si>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</si>
  <si>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</si>
  <si>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</si>
  <si>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</si>
  <si>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</si>
  <si>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</si>
  <si>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</si>
  <si>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</si>
  <si>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</si>
  <si>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</si>
  <si>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</si>
  <si>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</si>
  <si>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</si>
  <si>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</si>
  <si>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</si>
  <si>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</si>
  <si>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</si>
  <si>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</si>
  <si>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</si>
  <si>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</si>
  <si>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</si>
  <si>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</si>
  <si>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</si>
  <si>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</si>
  <si>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</si>
  <si>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</si>
  <si>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</si>
  <si>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</si>
  <si>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</si>
  <si>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</si>
  <si>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</si>
  <si>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</si>
  <si>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</si>
  <si>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</si>
  <si>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</si>
  <si>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</si>
  <si>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</si>
  <si>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</si>
  <si>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</si>
  <si>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</si>
  <si>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</si>
  <si>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</si>
  <si>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</si>
  <si>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</si>
  <si>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</si>
  <si>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</si>
  <si>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</si>
  <si>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</si>
  <si>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</si>
  <si>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</si>
  <si>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</si>
  <si>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</si>
  <si>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</si>
  <si>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</si>
  <si>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</si>
  <si>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</si>
  <si>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</si>
  <si>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</si>
  <si>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</si>
  <si>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</si>
  <si>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</si>
  <si>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</si>
  <si>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</si>
  <si>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</si>
  <si>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</si>
  <si>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</si>
  <si>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</si>
  <si>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</si>
  <si>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</si>
  <si>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</si>
  <si>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</si>
  <si>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</si>
  <si>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</si>
  <si>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</si>
  <si>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</si>
  <si>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</si>
  <si>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</si>
  <si>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</si>
  <si>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</si>
  <si>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</si>
  <si>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</si>
  <si>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</si>
  <si>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</si>
  <si>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</si>
  <si>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</si>
  <si>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</si>
  <si>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</si>
  <si>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</si>
  <si>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</si>
  <si>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</si>
  <si>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</si>
  <si>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</si>
  <si>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</si>
  <si>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</si>
  <si>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</si>
  <si>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</si>
  <si>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</si>
  <si>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</si>
  <si>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</si>
  <si>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</si>
  <si>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</si>
  <si>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</si>
  <si>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</si>
  <si>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</si>
  <si>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</si>
  <si>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</si>
  <si>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</si>
  <si>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</si>
  <si>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</si>
  <si>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</si>
  <si>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</si>
  <si>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</si>
  <si>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</si>
  <si>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</si>
  <si>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</si>
  <si>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</si>
  <si>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</si>
  <si>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</si>
  <si>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</si>
  <si>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</si>
  <si>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</si>
  <si>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</si>
  <si>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</si>
  <si>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</si>
  <si>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</si>
  <si>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</si>
  <si>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</si>
  <si>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</si>
  <si>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</si>
  <si>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</si>
  <si>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</si>
  <si>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</si>
  <si>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</si>
  <si>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</si>
  <si>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</si>
  <si>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</si>
  <si>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</si>
  <si>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</si>
  <si>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</si>
  <si>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</si>
  <si>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</si>
  <si>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</si>
  <si>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</si>
  <si>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</si>
  <si>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</si>
  <si>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</si>
  <si>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</si>
  <si>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</si>
  <si>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</si>
  <si>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</si>
  <si>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</si>
  <si>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</si>
  <si>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</si>
  <si>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</si>
  <si>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</si>
  <si>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</si>
  <si>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</si>
  <si>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</si>
  <si>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</si>
  <si>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</si>
  <si>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</si>
  <si>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</si>
  <si>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</si>
  <si>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</si>
  <si>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</si>
  <si>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</si>
  <si>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</si>
  <si>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</si>
  <si>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</si>
  <si>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</si>
  <si>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</si>
  <si>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</si>
  <si>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</si>
  <si>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</si>
  <si>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</si>
  <si>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</si>
  <si>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</si>
  <si>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</si>
  <si>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</si>
  <si>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</si>
  <si>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</si>
  <si>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</si>
  <si>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</si>
  <si>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</si>
  <si>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</si>
  <si>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</si>
  <si>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</si>
  <si>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</si>
  <si>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</si>
  <si>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</si>
  <si>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</si>
  <si>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</si>
  <si>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</si>
  <si>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</si>
  <si>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</si>
  <si>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</si>
  <si>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</si>
  <si>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</si>
  <si>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</si>
  <si>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</si>
  <si>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</si>
  <si>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</si>
  <si>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</si>
  <si>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</si>
  <si>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</si>
  <si>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</si>
  <si>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</si>
  <si>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</si>
  <si>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</si>
  <si>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</si>
  <si>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</si>
  <si>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</si>
  <si>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</si>
  <si>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</si>
  <si>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</si>
  <si>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</si>
  <si>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</si>
  <si>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</si>
  <si>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</si>
  <si>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</si>
  <si>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</si>
  <si>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</si>
  <si>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</si>
  <si>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</si>
  <si>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</si>
  <si>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</si>
  <si>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</si>
  <si>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</si>
  <si>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</si>
  <si>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</si>
  <si>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</si>
  <si>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</si>
  <si>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</si>
  <si>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</si>
  <si>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</si>
  <si>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</si>
  <si>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</si>
  <si>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</si>
  <si>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</si>
  <si>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</si>
  <si>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</si>
  <si>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</si>
  <si>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</si>
  <si>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</si>
  <si>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</si>
  <si>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</si>
  <si>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</si>
  <si>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</si>
  <si>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</si>
  <si>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</si>
  <si>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</si>
  <si>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</si>
  <si>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</si>
  <si>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</si>
  <si>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</si>
  <si>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</si>
  <si>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</si>
  <si>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</si>
  <si>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</si>
  <si>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</si>
  <si>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</si>
  <si>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</si>
  <si>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</si>
  <si>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</si>
  <si>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</si>
  <si>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</si>
  <si>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</si>
  <si>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</si>
  <si>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</si>
  <si>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</si>
  <si>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</si>
  <si>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</si>
  <si>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</si>
  <si>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</si>
  <si>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</si>
  <si>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</si>
  <si>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</si>
  <si>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</si>
  <si>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</si>
  <si>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</si>
  <si>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</si>
  <si>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</si>
  <si>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</si>
  <si>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</si>
  <si>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</si>
  <si>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</si>
  <si>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</si>
  <si>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</si>
  <si>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</si>
  <si>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</si>
  <si>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</si>
  <si>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</si>
  <si>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</si>
  <si>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</si>
  <si>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</si>
  <si>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</si>
  <si>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</si>
  <si>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</si>
  <si>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</si>
  <si>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</si>
  <si>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</si>
  <si>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</si>
  <si>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</si>
  <si>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</si>
  <si>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</si>
  <si>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</si>
  <si>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</si>
  <si>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</si>
  <si>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</si>
  <si>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</si>
  <si>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</si>
  <si>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</si>
  <si>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</si>
  <si>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</si>
  <si>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</si>
  <si>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</si>
  <si>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</si>
  <si>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</si>
  <si>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</si>
  <si>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</si>
  <si>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</si>
  <si>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</si>
  <si>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</si>
  <si>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</si>
  <si>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</si>
  <si>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</si>
  <si>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</si>
  <si>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</si>
  <si>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</si>
  <si>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</si>
  <si>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</si>
  <si>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</si>
  <si>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</si>
  <si>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</si>
  <si>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</si>
  <si>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</si>
  <si>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</si>
  <si>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</si>
  <si>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</si>
  <si>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</si>
  <si>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</si>
  <si>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</si>
  <si>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</si>
  <si>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</si>
  <si>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</si>
  <si>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</si>
  <si>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</si>
  <si>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</si>
  <si>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</si>
  <si>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</si>
  <si>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</si>
  <si>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</si>
  <si>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</si>
  <si>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</si>
  <si>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</si>
  <si>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</si>
  <si>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</si>
  <si>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</si>
  <si>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</si>
  <si>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</si>
  <si>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</si>
  <si>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</si>
  <si>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</si>
  <si>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</si>
  <si>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</si>
  <si>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</si>
  <si>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</si>
  <si>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</si>
  <si>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</si>
  <si>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</si>
  <si>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</si>
  <si>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</si>
  <si>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</si>
  <si>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</si>
  <si>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</si>
  <si>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</si>
  <si>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</si>
  <si>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</si>
  <si>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</si>
  <si>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</si>
  <si>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</si>
  <si>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</si>
  <si>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</si>
  <si>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</si>
  <si>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</si>
  <si>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</si>
  <si>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</si>
  <si>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</si>
  <si>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</si>
  <si>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</si>
  <si>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</si>
  <si>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</si>
  <si>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</si>
  <si>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</si>
  <si>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</si>
  <si>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</si>
  <si>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</si>
  <si>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</si>
  <si>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</si>
  <si>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</si>
  <si>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</si>
  <si>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</si>
  <si>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</si>
  <si>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</si>
  <si>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</si>
  <si>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</si>
  <si>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</si>
  <si>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</si>
  <si>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</si>
  <si>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</si>
  <si>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</si>
  <si>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</si>
  <si>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</si>
  <si>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</si>
  <si>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</si>
  <si>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</si>
  <si>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</si>
  <si>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</si>
  <si>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</si>
  <si>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</si>
  <si>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</si>
  <si>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</si>
  <si>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</si>
  <si>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</si>
  <si>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</si>
  <si>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</si>
  <si>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</si>
  <si>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</si>
  <si>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</si>
  <si>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</si>
  <si>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</si>
  <si>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</si>
  <si>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</si>
  <si>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</si>
  <si>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</si>
  <si>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</si>
  <si>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</si>
  <si>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</si>
  <si>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</si>
  <si>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</si>
  <si>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</si>
  <si>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</si>
  <si>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</si>
  <si>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</si>
  <si>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</si>
  <si>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</si>
  <si>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</si>
  <si>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</si>
  <si>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</si>
  <si>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</si>
  <si>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</si>
  <si>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</si>
  <si>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</si>
  <si>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</si>
  <si>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</si>
  <si>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</si>
  <si>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</si>
  <si>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</si>
  <si>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</si>
  <si>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</si>
  <si>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</si>
  <si>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</si>
  <si>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</si>
  <si>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</si>
  <si>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</si>
  <si>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</si>
  <si>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</si>
  <si>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</si>
  <si>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</si>
  <si>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</si>
  <si>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</si>
  <si>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</si>
  <si>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</si>
  <si>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</si>
  <si>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</si>
  <si>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</si>
  <si>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</si>
  <si>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</si>
  <si>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</si>
  <si>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</si>
  <si>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</si>
  <si>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</si>
  <si>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</si>
  <si>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</si>
  <si>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</si>
  <si>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</si>
  <si>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</si>
  <si>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</si>
  <si>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</si>
  <si>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</si>
  <si>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</si>
  <si>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</si>
  <si>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</si>
  <si>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</si>
  <si>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</si>
  <si>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</si>
  <si>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</si>
  <si>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</si>
  <si>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</si>
  <si>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</si>
  <si>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</si>
  <si>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</si>
  <si>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</si>
  <si>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</si>
  <si>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</si>
  <si>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</si>
  <si>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</si>
  <si>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</si>
  <si>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</si>
  <si>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</si>
  <si>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</si>
  <si>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</si>
  <si>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</si>
  <si>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</si>
  <si>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</si>
  <si>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</si>
  <si>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</si>
  <si>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</si>
  <si>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</si>
  <si>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</si>
  <si>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</si>
  <si>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</si>
  <si>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</si>
  <si>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</si>
  <si>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</si>
  <si>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</si>
  <si>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</si>
  <si>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</si>
  <si>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</si>
  <si>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</si>
  <si>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</si>
  <si>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</si>
  <si>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</si>
  <si>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</si>
  <si>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</si>
  <si>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</si>
  <si>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</si>
  <si>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</si>
  <si>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</si>
  <si>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</si>
  <si>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</si>
  <si>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</si>
  <si>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</si>
  <si>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</si>
  <si>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</si>
  <si>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</si>
  <si>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</si>
  <si>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</si>
  <si>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</si>
  <si>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</si>
  <si>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</si>
  <si>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</si>
  <si>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</si>
  <si>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</si>
  <si>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</si>
  <si>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</si>
  <si>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</si>
  <si>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</si>
  <si>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</si>
  <si>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</si>
  <si>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</si>
  <si>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</si>
  <si>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</si>
  <si>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</si>
  <si>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</si>
  <si>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</si>
  <si>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</si>
  <si>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</si>
  <si>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</si>
  <si>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</si>
  <si>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</si>
  <si>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</si>
  <si>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</si>
  <si>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</si>
  <si>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</si>
  <si>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</si>
  <si>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</si>
  <si>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</si>
  <si>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</si>
  <si>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</si>
  <si>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</si>
  <si>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</si>
  <si>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</si>
  <si>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</si>
  <si>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</si>
  <si>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</si>
  <si>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</si>
  <si>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</si>
  <si>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</si>
  <si>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</si>
  <si>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</si>
  <si>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</si>
  <si>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</si>
  <si>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</si>
  <si>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</si>
  <si>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</si>
  <si>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</si>
  <si>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</si>
  <si>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</si>
  <si>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</si>
  <si>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</si>
  <si>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</si>
  <si>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</si>
  <si>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</si>
  <si>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</si>
  <si>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</si>
  <si>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</si>
  <si>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</si>
  <si>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</si>
  <si>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</si>
  <si>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</si>
  <si>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</si>
  <si>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</si>
  <si>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</si>
  <si>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</si>
  <si>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</si>
  <si>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</si>
  <si>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</si>
  <si>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</si>
  <si>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</si>
  <si>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</si>
  <si>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</si>
  <si>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</si>
  <si>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</si>
  <si>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</si>
  <si>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</si>
  <si>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</si>
  <si>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</si>
  <si>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</si>
  <si>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</si>
  <si>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</si>
  <si>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</si>
  <si>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</si>
  <si>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</si>
  <si>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</si>
  <si>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</si>
  <si>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</si>
  <si>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</si>
  <si>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</si>
  <si>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</si>
  <si>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</si>
  <si>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</si>
  <si>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</si>
  <si>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</si>
  <si>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</si>
  <si>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</si>
  <si>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</si>
  <si>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</si>
  <si>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</si>
  <si>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</si>
  <si>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</si>
  <si>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</si>
  <si>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</si>
  <si>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</si>
  <si>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</si>
  <si>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</si>
  <si>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</si>
  <si>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</si>
  <si>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</si>
  <si>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</si>
  <si>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</si>
  <si>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</si>
  <si>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</si>
  <si>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</si>
  <si>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</si>
  <si>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</si>
  <si>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</si>
  <si>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</si>
  <si>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</si>
  <si>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</si>
  <si>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</si>
  <si>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</si>
  <si>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</si>
  <si>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</si>
  <si>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</si>
  <si>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</si>
  <si>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</si>
  <si>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</si>
  <si>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</si>
  <si>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</si>
  <si>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</si>
  <si>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</si>
  <si>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</si>
  <si>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</si>
  <si>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</si>
  <si>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</si>
  <si>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</si>
  <si>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</si>
  <si>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</si>
  <si>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</si>
  <si>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</si>
  <si>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</si>
  <si>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</si>
  <si>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</si>
  <si>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</si>
  <si>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</si>
  <si>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</si>
  <si>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</si>
  <si>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</si>
  <si>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</si>
  <si>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</si>
  <si>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</si>
  <si>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</si>
  <si>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</si>
  <si>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</si>
  <si>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</si>
  <si>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</si>
  <si>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</si>
  <si>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</si>
  <si>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</si>
  <si>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</si>
  <si>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</si>
  <si>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</si>
  <si>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</si>
  <si>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</si>
  <si>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</si>
  <si>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</si>
  <si>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</si>
  <si>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</si>
  <si>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</si>
  <si>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</si>
  <si>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</si>
  <si>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</si>
  <si>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</si>
  <si>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</si>
  <si>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</si>
  <si>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</si>
  <si>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</si>
  <si>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</si>
  <si>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</si>
  <si>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</si>
  <si>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</si>
  <si>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</si>
  <si>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</si>
  <si>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</si>
  <si>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</si>
  <si>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</si>
  <si>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</si>
  <si>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</si>
  <si>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</si>
  <si>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</si>
  <si>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</si>
  <si>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</si>
  <si>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</si>
  <si>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</si>
  <si>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</si>
  <si>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</si>
  <si>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</si>
  <si>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</si>
  <si>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</si>
  <si>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</si>
  <si>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</si>
  <si>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</si>
  <si>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</si>
  <si>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</si>
  <si>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</si>
  <si>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</si>
  <si>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</si>
  <si>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</si>
  <si>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</si>
  <si>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</si>
  <si>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</si>
  <si>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</si>
  <si>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</si>
  <si>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</si>
  <si>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</si>
  <si>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</si>
  <si>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</si>
  <si>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</si>
  <si>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</si>
  <si>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</si>
  <si>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</si>
  <si>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</si>
  <si>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</si>
  <si>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</si>
  <si>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</si>
  <si>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</si>
  <si>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</si>
  <si>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</si>
  <si>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</si>
  <si>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</si>
  <si>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</si>
  <si>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</si>
  <si>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</si>
  <si>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</si>
  <si>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</si>
  <si>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</si>
  <si>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</si>
  <si>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</si>
  <si>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</si>
  <si>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</si>
  <si>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</si>
  <si>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</si>
  <si>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</si>
  <si>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</si>
  <si>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</si>
  <si>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</si>
  <si>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</si>
  <si>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</si>
  <si>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</si>
  <si>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</si>
  <si>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</si>
  <si>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</si>
  <si>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</si>
  <si>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</si>
  <si>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</si>
  <si>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</si>
  <si>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</si>
  <si>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</si>
  <si>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</si>
  <si>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</si>
  <si>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</si>
  <si>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</si>
  <si>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</si>
  <si>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</si>
  <si>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</si>
  <si>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</si>
  <si>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</si>
  <si>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</si>
  <si>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</si>
  <si>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</si>
  <si>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</si>
  <si>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</si>
  <si>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</si>
  <si>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</si>
  <si>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</si>
  <si>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</si>
  <si>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</si>
  <si>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</si>
  <si>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</si>
  <si>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</si>
  <si>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</si>
  <si>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</si>
  <si>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</si>
  <si>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</si>
  <si>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</si>
  <si>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</si>
  <si>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</si>
  <si>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</si>
  <si>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</si>
  <si>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</si>
  <si>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</si>
  <si>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</si>
  <si>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</si>
  <si>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</si>
  <si>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</si>
  <si>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</si>
  <si>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</si>
  <si>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</si>
  <si>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</si>
  <si>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</si>
  <si>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</si>
  <si>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</si>
  <si>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</si>
  <si>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</si>
  <si>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</si>
  <si>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</si>
  <si>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</si>
  <si>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</si>
  <si>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</si>
  <si>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</si>
  <si>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</si>
  <si>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</si>
  <si>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</si>
  <si>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</si>
  <si>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</si>
  <si>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</si>
  <si>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</si>
  <si>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</si>
  <si>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</si>
  <si>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</si>
  <si>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</si>
  <si>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</si>
  <si>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</si>
  <si>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</si>
  <si>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</si>
  <si>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</si>
  <si>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</si>
  <si>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</si>
  <si>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</si>
  <si>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</si>
  <si>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</si>
  <si>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</si>
  <si>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</si>
  <si>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</si>
  <si>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</si>
  <si>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</si>
  <si>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</si>
  <si>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</si>
  <si>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</si>
  <si>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</si>
  <si>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</si>
  <si>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</si>
  <si>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</si>
  <si>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</si>
  <si>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</si>
  <si>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</si>
  <si>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</si>
  <si>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</si>
  <si>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</si>
  <si>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</si>
  <si>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</si>
  <si>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</si>
  <si>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</si>
  <si>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</si>
  <si>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</si>
  <si>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</si>
  <si>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</si>
  <si>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</si>
  <si>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</si>
  <si>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</si>
  <si>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</si>
  <si>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</si>
  <si>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</si>
  <si>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</si>
  <si>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</si>
  <si>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</si>
  <si>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</si>
  <si>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</si>
  <si>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</si>
  <si>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</si>
  <si>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</si>
  <si>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</si>
  <si>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</si>
  <si>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</si>
  <si>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</si>
  <si>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</si>
  <si>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</si>
  <si>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</si>
  <si>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</si>
  <si>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</si>
  <si>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</si>
  <si>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</si>
  <si>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</si>
  <si>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</si>
  <si>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</si>
  <si>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</si>
  <si>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</si>
  <si>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</si>
  <si>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</si>
  <si>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</si>
  <si>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</si>
  <si>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</si>
  <si>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</si>
  <si>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</si>
  <si>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</si>
  <si>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</si>
  <si>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</si>
  <si>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</si>
  <si>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</si>
  <si>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</si>
  <si>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</si>
  <si>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</si>
  <si>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</si>
  <si>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</si>
  <si>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</si>
  <si>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</si>
  <si>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</si>
  <si>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</si>
  <si>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</si>
  <si>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</si>
  <si>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</si>
  <si>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</si>
  <si>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</si>
  <si>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</si>
  <si>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</si>
  <si>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</si>
  <si>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</si>
  <si>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</si>
  <si>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</si>
  <si>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</si>
  <si>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</si>
  <si>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</si>
  <si>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</si>
  <si>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</si>
  <si>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</si>
  <si>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</si>
  <si>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</si>
  <si>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</si>
  <si>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</si>
  <si>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</si>
  <si>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</si>
  <si>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</si>
  <si>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</si>
  <si>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</si>
  <si>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</si>
  <si>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</si>
  <si>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</si>
  <si>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</si>
  <si>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</si>
  <si>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</si>
  <si>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</si>
  <si>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</si>
  <si>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</si>
  <si>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</si>
  <si>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</si>
  <si>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</si>
  <si>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</si>
  <si>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</si>
  <si>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</si>
  <si>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</si>
  <si>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</si>
  <si>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</si>
  <si>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</si>
  <si>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</si>
  <si>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</si>
  <si>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</si>
  <si>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</si>
  <si>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</si>
  <si>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</si>
  <si>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</si>
  <si>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</si>
  <si>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</si>
  <si>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</si>
  <si>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</si>
  <si>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</si>
  <si>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</si>
  <si>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</si>
  <si>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</si>
  <si>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</si>
  <si>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</si>
  <si>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</si>
  <si>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</si>
  <si>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</si>
  <si>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</si>
  <si>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</si>
  <si>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</si>
  <si>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</si>
  <si>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</si>
  <si>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</si>
  <si>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</si>
  <si>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</si>
  <si>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</si>
  <si>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</si>
  <si>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</si>
  <si>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</si>
  <si>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</si>
  <si>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</si>
  <si>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</si>
  <si>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</si>
  <si>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</si>
  <si>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</si>
  <si>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</si>
  <si>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</si>
  <si>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</si>
  <si>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</si>
  <si>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</si>
  <si>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</si>
  <si>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</si>
  <si>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</si>
  <si>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</si>
  <si>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</si>
  <si>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</si>
  <si>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</si>
  <si>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</si>
  <si>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</si>
  <si>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</si>
  <si>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</si>
  <si>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</si>
  <si>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</si>
  <si>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</si>
  <si>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</si>
  <si>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</si>
  <si>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</si>
  <si>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</si>
  <si>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</si>
  <si>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</si>
  <si>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</si>
  <si>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</si>
  <si>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</si>
  <si>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</si>
  <si>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</si>
  <si>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</si>
  <si>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</si>
  <si>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</si>
  <si>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</si>
  <si>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</si>
  <si>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</si>
  <si>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</si>
  <si>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</si>
  <si>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</si>
  <si>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</si>
  <si>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</si>
  <si>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</si>
  <si>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</si>
  <si>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</si>
  <si>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</si>
  <si>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</si>
  <si>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</si>
  <si>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</si>
  <si>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</si>
  <si>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</si>
  <si>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</si>
  <si>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</si>
  <si>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</si>
  <si>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</si>
  <si>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</si>
  <si>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</si>
  <si>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</si>
  <si>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</si>
  <si>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</si>
  <si>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</si>
  <si>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</si>
  <si>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</si>
  <si>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</si>
  <si>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</si>
  <si>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</si>
  <si>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</si>
  <si>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</si>
  <si>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</si>
  <si>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</si>
  <si>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</si>
  <si>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</si>
  <si>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</si>
  <si>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</si>
  <si>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</si>
  <si>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</si>
  <si>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</si>
  <si>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</si>
  <si>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</si>
  <si>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</si>
  <si>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</si>
  <si>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</si>
  <si>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</si>
  <si>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</si>
  <si>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</si>
  <si>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</si>
  <si>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</si>
  <si>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</si>
  <si>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</si>
  <si>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</si>
  <si>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</si>
  <si>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</si>
  <si>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</si>
  <si>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</si>
  <si>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</si>
  <si>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</si>
  <si>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</si>
  <si>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</si>
  <si>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</si>
  <si>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</si>
  <si>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</si>
  <si>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</si>
  <si>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</si>
  <si>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</si>
  <si>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</si>
  <si>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</si>
  <si>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</si>
  <si>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</si>
  <si>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</si>
  <si>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</si>
  <si>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</si>
  <si>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</si>
  <si>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</si>
  <si>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</si>
  <si>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</si>
  <si>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</si>
  <si>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</si>
  <si>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</si>
  <si>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</si>
  <si>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</si>
  <si>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</si>
  <si>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</si>
  <si>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</si>
  <si>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</si>
  <si>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</si>
  <si>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</si>
  <si>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</si>
  <si>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</si>
  <si>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</si>
  <si>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</si>
  <si>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</si>
  <si>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</si>
  <si>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</si>
  <si>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</si>
  <si>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</si>
  <si>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</si>
  <si>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</si>
  <si>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</si>
  <si>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</si>
  <si>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</si>
  <si>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</si>
  <si>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</si>
  <si>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</si>
  <si>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</si>
  <si>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</si>
  <si>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</si>
  <si>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</si>
  <si>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</si>
  <si>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</si>
  <si>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</si>
  <si>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</si>
  <si>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</si>
  <si>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</si>
  <si>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</si>
  <si>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</si>
  <si>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</si>
  <si>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</si>
  <si>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</si>
  <si>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</si>
  <si>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</si>
  <si>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</si>
  <si>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</si>
  <si>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</si>
  <si>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</si>
  <si>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</si>
  <si>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</si>
  <si>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</si>
  <si>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</si>
  <si>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</si>
  <si>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</si>
  <si>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</si>
  <si>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</si>
  <si>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</si>
  <si>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</si>
  <si>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</si>
  <si>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</si>
  <si>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</si>
  <si>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</si>
  <si>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</si>
  <si>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</si>
  <si>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</si>
  <si>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</si>
  <si>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</si>
  <si>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</si>
  <si>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</si>
  <si>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</si>
  <si>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</si>
  <si>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</si>
  <si>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</si>
  <si>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</si>
  <si>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</si>
  <si>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</si>
  <si>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</si>
  <si>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</si>
  <si>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</si>
  <si>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</si>
  <si>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</si>
  <si>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</si>
  <si>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</si>
  <si>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</si>
  <si>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</si>
  <si>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</si>
  <si>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</si>
  <si>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</si>
  <si>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</si>
  <si>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</si>
  <si>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</si>
  <si>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</si>
  <si>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</si>
  <si>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</si>
  <si>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</si>
  <si>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</si>
  <si>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</si>
  <si>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</si>
  <si>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</si>
  <si>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</si>
  <si>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</si>
  <si>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</si>
  <si>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</si>
  <si>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</si>
  <si>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</si>
  <si>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</si>
  <si>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</si>
  <si>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</si>
  <si>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</si>
  <si>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</si>
  <si>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</si>
  <si>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</si>
  <si>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</si>
  <si>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</si>
  <si>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</si>
  <si>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</si>
  <si>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</si>
  <si>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</si>
  <si>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</si>
  <si>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</si>
  <si>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</si>
  <si>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</si>
  <si>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</si>
  <si>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</si>
  <si>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</si>
  <si>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</si>
  <si>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</si>
  <si>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</si>
  <si>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</si>
  <si>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</si>
  <si>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</si>
  <si>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</si>
  <si>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</si>
  <si>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</si>
  <si>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</si>
  <si>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</si>
  <si>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</si>
  <si>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</si>
  <si>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</si>
  <si>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</si>
  <si>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</si>
  <si>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</si>
  <si>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</si>
  <si>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</si>
  <si>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</si>
  <si>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</si>
  <si>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</si>
  <si>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</si>
  <si>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</si>
  <si>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</si>
  <si>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</si>
  <si>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</si>
  <si>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</si>
  <si>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</si>
  <si>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</si>
  <si>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</si>
  <si>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</si>
  <si>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</si>
  <si>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</si>
  <si>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</si>
  <si>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</si>
  <si>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</si>
  <si>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</si>
  <si>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</si>
  <si>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</si>
  <si>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</si>
  <si>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</si>
  <si>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</si>
  <si>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</si>
  <si>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</si>
  <si>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</si>
  <si>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</si>
  <si>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</si>
  <si>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</si>
  <si>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</si>
  <si>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</si>
  <si>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</si>
  <si>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</si>
  <si>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</si>
  <si>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</si>
  <si>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</si>
  <si>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</si>
  <si>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</si>
  <si>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</si>
  <si>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</si>
  <si>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</si>
  <si>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</si>
  <si>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</si>
  <si>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</si>
  <si>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</si>
  <si>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</si>
  <si>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</si>
  <si>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</si>
  <si>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</si>
  <si>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</si>
  <si>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</si>
  <si>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</si>
  <si>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</si>
  <si>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</si>
  <si>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</si>
  <si>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</si>
  <si>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</si>
  <si>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</si>
  <si>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</si>
  <si>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</si>
  <si>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</si>
  <si>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</si>
  <si>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</si>
  <si>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</si>
  <si>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</si>
  <si>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</si>
  <si>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</si>
  <si>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</si>
  <si>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</si>
  <si>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</si>
  <si>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</si>
  <si>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</si>
  <si>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</si>
  <si>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</si>
  <si>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</si>
  <si>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</si>
  <si>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</si>
  <si>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</si>
  <si>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</si>
  <si>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</si>
  <si>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</si>
  <si>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</si>
  <si>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</si>
  <si>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</si>
  <si>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</si>
  <si>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</si>
  <si>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</si>
  <si>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</si>
  <si>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</si>
  <si>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</si>
  <si>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</si>
  <si>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</si>
  <si>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</si>
  <si>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</si>
  <si>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</si>
  <si>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</si>
  <si>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</si>
  <si>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</si>
  <si>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</si>
  <si>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</si>
  <si>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</si>
  <si>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</si>
  <si>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</si>
  <si>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</si>
  <si>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</si>
  <si>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</si>
  <si>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</si>
  <si>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</si>
  <si>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</si>
  <si>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</si>
  <si>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</si>
  <si>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</si>
  <si>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</si>
  <si>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</si>
  <si>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</si>
  <si>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</si>
  <si>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</si>
  <si>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</si>
  <si>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</si>
  <si>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</si>
  <si>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</si>
  <si>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</si>
  <si>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</si>
  <si>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</si>
  <si>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</si>
  <si>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</si>
  <si>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</si>
  <si>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</si>
  <si>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</si>
  <si>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</si>
  <si>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</si>
  <si>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</si>
  <si>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</si>
  <si>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</si>
  <si>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</si>
  <si>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</si>
  <si>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</si>
  <si>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</si>
  <si>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</si>
  <si>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</si>
  <si>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</si>
  <si>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</si>
  <si>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</si>
  <si>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</si>
  <si>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</si>
  <si>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</si>
  <si>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</si>
  <si>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</si>
  <si>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</si>
  <si>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</si>
  <si>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</si>
  <si>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</si>
  <si>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</si>
  <si>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</si>
  <si>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</si>
  <si>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</si>
  <si>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</si>
  <si>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</si>
  <si>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</si>
  <si>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</si>
  <si>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</si>
  <si>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</si>
  <si>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</si>
  <si>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</si>
  <si>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</si>
  <si>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</si>
  <si>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</si>
  <si>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</si>
  <si>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</si>
  <si>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</si>
  <si>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</si>
  <si>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</si>
  <si>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</si>
  <si>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</si>
  <si>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</si>
  <si>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</si>
  <si>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</si>
  <si>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</si>
  <si>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</si>
  <si>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</si>
  <si>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</si>
  <si>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</si>
  <si>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</si>
  <si>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</si>
  <si>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</si>
  <si>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</si>
  <si>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</si>
  <si>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</si>
  <si>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</si>
  <si>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</si>
  <si>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</si>
  <si>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</si>
  <si>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</si>
  <si>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</si>
  <si>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</si>
  <si>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</si>
  <si>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</si>
  <si>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</si>
  <si>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</si>
  <si>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</si>
  <si>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</si>
  <si>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</si>
  <si>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</si>
  <si>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</si>
  <si>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</si>
  <si>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</si>
  <si>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</si>
  <si>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</si>
  <si>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</si>
  <si>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</si>
  <si>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</si>
  <si>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</si>
  <si>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</si>
  <si>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</si>
  <si>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</si>
  <si>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</si>
  <si>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</si>
  <si>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</si>
  <si>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</si>
  <si>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</si>
  <si>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</si>
  <si>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</si>
  <si>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</si>
  <si>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</si>
  <si>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</si>
  <si>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</si>
  <si>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</si>
  <si>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</si>
  <si>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</si>
  <si>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</si>
  <si>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</si>
  <si>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</si>
  <si>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</si>
  <si>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</si>
  <si>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</si>
  <si>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</si>
  <si>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</si>
  <si>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</si>
  <si>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</si>
  <si>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</si>
  <si>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</si>
  <si>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</si>
  <si>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</si>
  <si>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</si>
  <si>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</si>
  <si>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</si>
  <si>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</si>
  <si>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</si>
  <si>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</si>
  <si>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</si>
  <si>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</si>
  <si>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</si>
  <si>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</si>
  <si>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</si>
  <si>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</si>
  <si>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</si>
  <si>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</si>
  <si>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</si>
  <si>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</si>
  <si>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</si>
  <si>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</si>
  <si>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</si>
  <si>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</si>
  <si>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</si>
  <si>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</si>
  <si>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</si>
  <si>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</si>
  <si>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</si>
  <si>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</si>
  <si>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</si>
  <si>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</si>
  <si>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</si>
  <si>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</si>
  <si>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</si>
  <si>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</si>
  <si>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</si>
  <si>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</si>
  <si>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</si>
  <si>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</si>
  <si>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</si>
  <si>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</si>
  <si>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</si>
  <si>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</si>
  <si>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</si>
  <si>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</si>
  <si>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</si>
  <si>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</si>
  <si>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</si>
  <si>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</si>
  <si>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</si>
  <si>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</si>
  <si>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</si>
  <si>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</si>
  <si>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</si>
  <si>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</si>
  <si>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</si>
  <si>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</si>
  <si>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</si>
  <si>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</si>
  <si>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</si>
  <si>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</si>
  <si>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</si>
  <si>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</si>
  <si>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</si>
  <si>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</si>
  <si>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</si>
  <si>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</si>
  <si>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</si>
  <si>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</si>
  <si>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</si>
  <si>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</si>
  <si>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</si>
  <si>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</si>
  <si>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</si>
  <si>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</si>
  <si>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</si>
  <si>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</si>
  <si>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</si>
  <si>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</si>
  <si>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</si>
  <si>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</si>
  <si>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</si>
  <si>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</si>
  <si>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</si>
  <si>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</si>
  <si>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</si>
  <si>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</si>
  <si>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</si>
  <si>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</si>
  <si>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</si>
  <si>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</si>
  <si>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</si>
  <si>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</si>
  <si>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</si>
  <si>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</si>
  <si>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</si>
  <si>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</si>
  <si>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</si>
  <si>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</si>
  <si>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</si>
  <si>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</si>
  <si>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</si>
  <si>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</si>
  <si>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</si>
  <si>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</si>
  <si>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</si>
  <si>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</si>
  <si>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</si>
  <si>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</si>
  <si>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</si>
  <si>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</si>
  <si>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</si>
  <si>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</si>
  <si>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</si>
  <si>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</si>
  <si>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</si>
  <si>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</si>
  <si>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</si>
  <si>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</si>
  <si>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</si>
  <si>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</si>
  <si>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</si>
  <si>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</si>
  <si>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</si>
  <si>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</si>
  <si>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</si>
  <si>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</si>
  <si>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</si>
  <si>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</si>
  <si>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</si>
  <si>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</si>
  <si>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</si>
  <si>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</si>
  <si>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</si>
  <si>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</si>
  <si>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</si>
  <si>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</si>
  <si>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</si>
  <si>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</si>
  <si>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</si>
  <si>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</si>
  <si>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</si>
  <si>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</si>
  <si>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</si>
  <si>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</si>
  <si>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</si>
  <si>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</si>
  <si>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</si>
  <si>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</si>
  <si>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</si>
  <si>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</si>
  <si>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</si>
  <si>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</si>
  <si>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</si>
  <si>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</si>
  <si>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</si>
  <si>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</si>
  <si>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</si>
  <si>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</si>
  <si>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</si>
  <si>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</si>
  <si>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</si>
  <si>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</si>
  <si>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</si>
  <si>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</si>
  <si>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</si>
  <si>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</si>
  <si>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</si>
  <si>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</si>
  <si>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</si>
  <si>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</si>
  <si>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</si>
  <si>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</si>
  <si>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</si>
  <si>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</si>
  <si>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</si>
  <si>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</si>
  <si>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</si>
  <si>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</si>
  <si>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</si>
  <si>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</si>
  <si>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</si>
  <si>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</si>
  <si>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</si>
  <si>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</si>
  <si>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</si>
  <si>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</si>
  <si>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</si>
  <si>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</si>
  <si>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</si>
  <si>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</si>
  <si>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</si>
  <si>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</si>
  <si>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</si>
  <si>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</si>
  <si>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</si>
  <si>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</si>
  <si>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</si>
  <si>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</si>
  <si>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</si>
  <si>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</si>
  <si>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</si>
  <si>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</si>
  <si>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</si>
  <si>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</si>
  <si>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</si>
  <si>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</si>
  <si>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</si>
  <si>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</si>
  <si>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</si>
  <si>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</si>
  <si>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</si>
  <si>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</si>
  <si>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</si>
  <si>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</si>
  <si>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</si>
  <si>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</si>
  <si>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</si>
  <si>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</si>
  <si>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</si>
  <si>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</si>
  <si>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</si>
  <si>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</si>
  <si>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</si>
  <si>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</si>
  <si>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</si>
  <si>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</si>
  <si>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</si>
  <si>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</si>
  <si>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</si>
  <si>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</si>
  <si>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</si>
  <si>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</si>
  <si>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</si>
  <si>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</si>
  <si>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</si>
  <si>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</si>
  <si>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</si>
  <si>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</si>
  <si>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</si>
  <si>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</si>
  <si>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</si>
  <si>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</si>
  <si>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</si>
  <si>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</si>
  <si>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</si>
  <si>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</si>
  <si>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</si>
  <si>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</si>
  <si>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</si>
  <si>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</si>
  <si>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</si>
  <si>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</si>
  <si>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</si>
  <si>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</si>
  <si>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</si>
  <si>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</si>
  <si>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</si>
  <si>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</si>
  <si>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</si>
  <si>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</si>
  <si>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</si>
  <si>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</si>
  <si>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</si>
  <si>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</si>
  <si>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</si>
  <si>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</si>
  <si>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</si>
  <si>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</si>
  <si>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</si>
  <si>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</si>
  <si>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</si>
  <si>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</si>
  <si>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</si>
  <si>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</si>
  <si>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</si>
  <si>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</si>
  <si>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</si>
  <si>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</si>
  <si>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</si>
  <si>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</si>
  <si>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</si>
  <si>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</si>
  <si>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</si>
  <si>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</si>
  <si>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</si>
  <si>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</si>
  <si>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</si>
  <si>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</si>
  <si>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</si>
  <si>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</si>
  <si>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</si>
  <si>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</si>
  <si>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</si>
  <si>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</si>
  <si>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</si>
  <si>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</si>
  <si>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</si>
  <si>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</si>
  <si>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</si>
  <si>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</si>
  <si>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</si>
  <si>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</si>
  <si>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</si>
  <si>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</si>
  <si>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</si>
  <si>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</si>
  <si>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</si>
  <si>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</si>
  <si>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</si>
  <si>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</si>
  <si>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</si>
  <si>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</si>
  <si>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</si>
  <si>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</si>
  <si>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</si>
  <si>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</si>
  <si>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</si>
  <si>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</si>
  <si>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</si>
  <si>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</si>
  <si>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</si>
  <si>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</si>
  <si>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</si>
  <si>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</si>
  <si>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</si>
  <si>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</si>
  <si>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</si>
  <si>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</si>
  <si>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</si>
  <si>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</si>
  <si>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</si>
  <si>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</si>
  <si>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</si>
  <si>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</si>
  <si>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</si>
  <si>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</si>
  <si>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</si>
  <si>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</si>
  <si>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</si>
  <si>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</si>
  <si>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</si>
  <si>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</si>
  <si>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</si>
  <si>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</si>
  <si>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</si>
  <si>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</si>
  <si>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</si>
  <si>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</si>
  <si>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</si>
  <si>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</si>
  <si>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</si>
  <si>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</si>
  <si>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</si>
  <si>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</si>
  <si>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</si>
  <si>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</si>
  <si>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</si>
  <si>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</si>
  <si>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</si>
  <si>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</si>
  <si>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</si>
  <si>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</si>
  <si>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</si>
  <si>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</si>
  <si>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</si>
  <si>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</si>
  <si>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</si>
  <si>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</si>
  <si>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</si>
  <si>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</si>
  <si>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</si>
  <si>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</si>
  <si>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</si>
  <si>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</si>
  <si>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</si>
  <si>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</si>
  <si>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</si>
  <si>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</si>
  <si>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</si>
  <si>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</si>
  <si>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</si>
  <si>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</si>
  <si>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</si>
  <si>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</si>
  <si>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</si>
  <si>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</si>
  <si>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</si>
  <si>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</si>
  <si>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</si>
  <si>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</si>
  <si>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</si>
  <si>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</si>
  <si>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</si>
  <si>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</si>
  <si>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</si>
  <si>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</si>
  <si>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</si>
  <si>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</si>
  <si>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</si>
  <si>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</si>
  <si>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</si>
  <si>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</si>
  <si>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</si>
  <si>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</si>
  <si>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</si>
  <si>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</si>
  <si>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</si>
  <si>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</si>
  <si>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</si>
  <si>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</si>
  <si>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</si>
  <si>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</si>
  <si>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</si>
  <si>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</si>
  <si>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</si>
  <si>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</si>
  <si>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</si>
  <si>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</si>
  <si>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</si>
  <si>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</si>
  <si>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</si>
  <si>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</si>
  <si>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</si>
  <si>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</si>
  <si>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</si>
  <si>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</si>
  <si>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</si>
  <si>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</si>
  <si>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</si>
  <si>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</si>
  <si>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</si>
  <si>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</si>
  <si>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</si>
  <si>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</si>
  <si>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</si>
  <si>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</si>
  <si>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</si>
  <si>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</si>
  <si>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</si>
  <si>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</si>
  <si>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</si>
  <si>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</si>
  <si>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</si>
  <si>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</si>
  <si>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</si>
  <si>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</si>
  <si>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</si>
  <si>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</si>
  <si>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</si>
  <si>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</si>
  <si>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</si>
  <si>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</si>
  <si>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</si>
  <si>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</si>
  <si>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</si>
  <si>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</si>
  <si>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</si>
  <si>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</si>
  <si>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</si>
  <si>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</si>
  <si>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</si>
  <si>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</si>
  <si>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</si>
  <si>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</si>
  <si>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</si>
  <si>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</si>
  <si>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</si>
  <si>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</si>
  <si>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</si>
  <si>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</si>
  <si>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</si>
  <si>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</si>
  <si>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</si>
  <si>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</si>
  <si>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</si>
  <si>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</si>
  <si>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</si>
  <si>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</si>
  <si>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</si>
  <si>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</si>
  <si>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</si>
  <si>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</si>
  <si>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</si>
  <si>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</si>
  <si>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</si>
  <si>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</si>
  <si>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</si>
  <si>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</si>
  <si>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</si>
  <si>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</si>
  <si>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</si>
  <si>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</si>
  <si>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</si>
  <si>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</si>
  <si>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</si>
  <si>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</si>
  <si>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</si>
  <si>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</si>
  <si>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</si>
  <si>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</si>
  <si>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</si>
  <si>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</si>
  <si>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</si>
  <si>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</si>
  <si>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</si>
  <si>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</si>
  <si>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</si>
  <si>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</si>
  <si>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</si>
  <si>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</si>
  <si>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</si>
  <si>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</si>
  <si>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</si>
  <si>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</si>
  <si>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</si>
  <si>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</si>
  <si>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</si>
  <si>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</si>
  <si>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</si>
  <si>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</si>
  <si>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</si>
  <si>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</si>
  <si>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</si>
  <si>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</si>
  <si>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</si>
  <si>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</si>
  <si>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</si>
  <si>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</si>
  <si>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</si>
  <si>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</si>
  <si>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</si>
  <si>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</si>
  <si>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</si>
  <si>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</si>
  <si>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</si>
  <si>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</si>
  <si>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</si>
  <si>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</si>
  <si>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</si>
  <si>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</si>
  <si>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</si>
  <si>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</si>
  <si>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</si>
  <si>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</si>
  <si>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</si>
  <si>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</si>
  <si>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</si>
  <si>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</si>
  <si>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</si>
  <si>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</si>
  <si>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</si>
  <si>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</si>
  <si>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</si>
  <si>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</si>
  <si>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</si>
  <si>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</si>
  <si>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</si>
  <si>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</si>
  <si>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</si>
  <si>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</si>
  <si>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</si>
  <si>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</si>
  <si>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</si>
  <si>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</si>
  <si>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</si>
  <si>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</si>
  <si>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</si>
  <si>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</si>
  <si>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</si>
  <si>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</si>
  <si>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</si>
  <si>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</si>
  <si>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</si>
  <si>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</si>
  <si>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</si>
  <si>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</si>
  <si>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</si>
  <si>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</si>
  <si>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</si>
  <si>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</si>
  <si>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</si>
  <si>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</si>
  <si>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</si>
  <si>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</si>
  <si>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</si>
  <si>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</si>
  <si>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</si>
  <si>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</si>
  <si>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</si>
  <si>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</si>
  <si>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</si>
  <si>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</si>
  <si>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</si>
  <si>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</si>
  <si>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</si>
  <si>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</si>
  <si>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</si>
  <si>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</si>
  <si>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</si>
  <si>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</si>
  <si>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</si>
  <si>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</si>
  <si>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</si>
  <si>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</si>
  <si>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</si>
  <si>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</si>
  <si>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</si>
  <si>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</si>
  <si>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</si>
  <si>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</si>
  <si>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</si>
  <si>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</si>
  <si>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</si>
  <si>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</si>
  <si>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</si>
  <si>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</si>
  <si>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</si>
  <si>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</si>
  <si>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</si>
  <si>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</si>
  <si>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</si>
  <si>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</si>
  <si>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</si>
  <si>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</si>
  <si>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</si>
  <si>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</si>
  <si>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</si>
  <si>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</si>
  <si>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</si>
  <si>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</si>
  <si>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</si>
  <si>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</si>
  <si>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</si>
  <si>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</si>
  <si>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</si>
  <si>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</si>
  <si>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</si>
  <si>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</si>
  <si>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</si>
  <si>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</si>
  <si>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</si>
  <si>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</si>
  <si>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</si>
  <si>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</si>
  <si>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</si>
  <si>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</si>
  <si>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</si>
  <si>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</si>
  <si>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</si>
  <si>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</si>
  <si>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</si>
  <si>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</si>
  <si>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</si>
  <si>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</si>
  <si>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</si>
  <si>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</si>
  <si>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</si>
  <si>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</si>
  <si>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</si>
  <si>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</si>
  <si>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</si>
  <si>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</si>
  <si>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</si>
  <si>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</si>
  <si>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</si>
  <si>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</si>
  <si>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</si>
  <si>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</si>
  <si>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</si>
  <si>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</si>
  <si>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</si>
  <si>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</si>
  <si>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</si>
  <si>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</si>
  <si>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</si>
  <si>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</si>
  <si>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</si>
  <si>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</si>
  <si>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</si>
  <si>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</si>
  <si>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</si>
  <si>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</si>
  <si>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</si>
  <si>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</si>
  <si>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</si>
  <si>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</si>
  <si>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</si>
  <si>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</si>
  <si>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</si>
  <si>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</si>
  <si>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</si>
  <si>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</si>
  <si>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</si>
  <si>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</si>
  <si>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</si>
  <si>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</si>
  <si>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</si>
  <si>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</si>
  <si>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</si>
  <si>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</si>
  <si>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</si>
  <si>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</si>
  <si>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</si>
  <si>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</si>
  <si>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</si>
  <si>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</si>
  <si>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</si>
  <si>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</si>
  <si>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</si>
  <si>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</si>
  <si>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</si>
  <si>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</si>
  <si>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</si>
  <si>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</si>
  <si>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</si>
  <si>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</si>
  <si>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</si>
  <si>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</si>
  <si>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</si>
  <si>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</si>
  <si>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</si>
  <si>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</si>
  <si>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</si>
  <si>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</si>
  <si>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</si>
  <si>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</si>
  <si>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</si>
  <si>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</si>
  <si>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</si>
  <si>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</si>
  <si>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</si>
  <si>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</si>
  <si>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</si>
  <si>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</si>
  <si>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</si>
  <si>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</si>
  <si>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</si>
  <si>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</si>
  <si>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</si>
  <si>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</si>
  <si>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</si>
  <si>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</si>
  <si>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</si>
  <si>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</si>
  <si>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</si>
  <si>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</si>
  <si>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</si>
  <si>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</si>
  <si>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</si>
  <si>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</si>
  <si>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</si>
  <si>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</si>
  <si>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</si>
  <si>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</si>
  <si>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</si>
  <si>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</si>
  <si>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</si>
  <si>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</si>
  <si>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</si>
  <si>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</si>
  <si>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</si>
  <si>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</si>
  <si>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</si>
  <si>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</si>
  <si>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</si>
  <si>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</si>
  <si>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</si>
  <si>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</si>
  <si>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</si>
  <si>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</si>
  <si>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</si>
  <si>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</si>
  <si>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</si>
  <si>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</si>
  <si>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</si>
  <si>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</si>
  <si>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</si>
  <si>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</si>
  <si>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</si>
  <si>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</si>
  <si>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</si>
  <si>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</si>
  <si>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</si>
  <si>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</si>
  <si>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</si>
  <si>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</si>
  <si>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</si>
  <si>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</si>
  <si>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</si>
  <si>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</si>
  <si>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</si>
  <si>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</si>
  <si>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</si>
  <si>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</si>
  <si>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</si>
  <si>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</si>
  <si>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</si>
  <si>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</si>
  <si>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</si>
  <si>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</si>
  <si>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</si>
  <si>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</si>
  <si>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</si>
  <si>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</si>
  <si>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</si>
  <si>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</si>
  <si>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</si>
  <si>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</si>
  <si>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</si>
  <si>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</si>
  <si>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</si>
  <si>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</si>
  <si>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</si>
  <si>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</si>
  <si>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</si>
  <si>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</si>
  <si>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</si>
  <si>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</si>
  <si>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</si>
  <si>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</si>
  <si>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</si>
  <si>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</si>
  <si>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</si>
  <si>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</si>
  <si>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</si>
  <si>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</si>
  <si>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</si>
  <si>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</si>
  <si>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</si>
  <si>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</si>
  <si>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</si>
  <si>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</si>
  <si>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</si>
  <si>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</si>
  <si>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</si>
  <si>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</si>
  <si>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</si>
  <si>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</si>
  <si>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</si>
  <si>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</si>
  <si>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</si>
  <si>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</si>
  <si>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</si>
  <si>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</si>
  <si>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</si>
  <si>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</si>
  <si>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</si>
  <si>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</si>
  <si>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</si>
  <si>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</si>
  <si>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</si>
  <si>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</si>
  <si>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</si>
  <si>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</si>
  <si>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</si>
  <si>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</si>
  <si>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</si>
  <si>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</si>
  <si>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</si>
  <si>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</si>
  <si>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</si>
  <si>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</si>
  <si>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</si>
  <si>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</si>
  <si>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</si>
  <si>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</si>
  <si>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</si>
  <si>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</si>
  <si>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</si>
  <si>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</si>
  <si>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</si>
  <si>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</si>
  <si>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</si>
  <si>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</si>
  <si>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2018-1-0667</t>
    <phoneticPr fontId="6" type="noConversion"/>
  </si>
  <si>
    <t>郑燚</t>
  </si>
  <si>
    <t>吴薇</t>
  </si>
  <si>
    <r>
      <rPr>
        <sz val="12"/>
        <color indexed="8"/>
        <rFont val="宋体"/>
        <family val="3"/>
        <charset val="134"/>
      </rPr>
      <t>北京万龙华房地产开发有限公司</t>
    </r>
    <r>
      <rPr>
        <sz val="12"/>
        <color indexed="8"/>
        <rFont val="Arial"/>
        <family val="2"/>
      </rPr>
      <t xml:space="preserve"> </t>
    </r>
    <phoneticPr fontId="6" type="noConversion"/>
  </si>
  <si>
    <t>建行城建、中行北京分行丰台支行、农行北分崇文门</t>
    <phoneticPr fontId="6" type="noConversion"/>
  </si>
  <si>
    <r>
      <rPr>
        <sz val="12"/>
        <color indexed="8"/>
        <rFont val="宋体"/>
        <family val="3"/>
        <charset val="134"/>
      </rPr>
      <t>北京万龙华房地产开发有限公司</t>
    </r>
    <r>
      <rPr>
        <sz val="12"/>
        <color indexed="8"/>
        <rFont val="Arial"/>
        <family val="2"/>
      </rPr>
      <t xml:space="preserve"> </t>
    </r>
    <phoneticPr fontId="6" type="noConversion"/>
  </si>
  <si>
    <t>抵押</t>
  </si>
  <si>
    <t>房地产抵押价值</t>
  </si>
  <si>
    <t>北京市</t>
  </si>
  <si>
    <r>
      <rPr>
        <sz val="12"/>
        <rFont val="宋体"/>
        <family val="3"/>
        <charset val="134"/>
      </rPr>
      <t>顺义区高丽营镇于庄</t>
    </r>
    <r>
      <rPr>
        <sz val="12"/>
        <rFont val="Arial"/>
        <family val="2"/>
      </rPr>
      <t>03-31</t>
    </r>
    <r>
      <rPr>
        <sz val="12"/>
        <rFont val="宋体"/>
        <family val="3"/>
        <charset val="134"/>
      </rPr>
      <t>地块</t>
    </r>
    <phoneticPr fontId="6" type="noConversion"/>
  </si>
  <si>
    <t>企业</t>
  </si>
  <si>
    <t>出让</t>
  </si>
  <si>
    <t>住宅、商业、车库、仓储</t>
    <phoneticPr fontId="6" type="noConversion"/>
  </si>
  <si>
    <r>
      <rPr>
        <sz val="12"/>
        <rFont val="宋体"/>
        <family val="3"/>
        <charset val="134"/>
      </rPr>
      <t>住宅</t>
    </r>
    <r>
      <rPr>
        <sz val="12"/>
        <rFont val="Arial"/>
        <family val="2"/>
      </rPr>
      <t>68.6</t>
    </r>
    <r>
      <rPr>
        <sz val="12"/>
        <rFont val="宋体"/>
        <family val="3"/>
        <charset val="134"/>
      </rPr>
      <t>、商业</t>
    </r>
    <r>
      <rPr>
        <sz val="12"/>
        <rFont val="Arial"/>
        <family val="2"/>
      </rPr>
      <t>38.6</t>
    </r>
    <r>
      <rPr>
        <sz val="12"/>
        <rFont val="宋体"/>
        <family val="3"/>
        <charset val="134"/>
      </rPr>
      <t>、车库及仓储</t>
    </r>
    <r>
      <rPr>
        <sz val="12"/>
        <rFont val="Arial"/>
        <family val="2"/>
      </rPr>
      <t>48.6</t>
    </r>
    <phoneticPr fontId="6" type="noConversion"/>
  </si>
  <si>
    <t>《不动产权证书》[京（2018）顺不动产权第0000011、0000012号]</t>
    <phoneticPr fontId="6" type="noConversion"/>
  </si>
  <si>
    <t>否</t>
  </si>
  <si>
    <t>《不动产权证书》</t>
  </si>
  <si>
    <t>原件</t>
  </si>
  <si>
    <t>居住项目</t>
  </si>
  <si>
    <t>低密度住宅</t>
  </si>
  <si>
    <t>含保障性住房</t>
  </si>
  <si>
    <t>自持住房</t>
    <phoneticPr fontId="6" type="noConversion"/>
  </si>
  <si>
    <t>在建</t>
  </si>
  <si>
    <t>通路</t>
  </si>
  <si>
    <t>通电</t>
  </si>
  <si>
    <t>通上水</t>
  </si>
  <si>
    <t>Ⅷ-顺3</t>
  </si>
  <si>
    <t>1-6#</t>
  </si>
  <si>
    <t>1-9#</t>
  </si>
  <si>
    <t>1-12#</t>
  </si>
  <si>
    <t>1-15#</t>
  </si>
  <si>
    <t>1-18#</t>
  </si>
  <si>
    <t>1-21#</t>
  </si>
  <si>
    <t>1-24#</t>
  </si>
  <si>
    <t>1-26#</t>
  </si>
  <si>
    <t>1-28#</t>
  </si>
  <si>
    <t>1-30#</t>
  </si>
  <si>
    <t>1-33#</t>
  </si>
  <si>
    <t>1-36#</t>
  </si>
  <si>
    <t>1-39#</t>
  </si>
  <si>
    <t>规证一</t>
  </si>
  <si>
    <t>地上</t>
  </si>
  <si>
    <t>地下</t>
  </si>
  <si>
    <t>住宅</t>
  </si>
  <si>
    <t>其他</t>
  </si>
  <si>
    <t>库房</t>
  </si>
  <si>
    <t>设备</t>
  </si>
  <si>
    <t>地上楼层</t>
  </si>
  <si>
    <t>地下楼层</t>
  </si>
  <si>
    <t>栋数</t>
  </si>
  <si>
    <t>户数</t>
  </si>
  <si>
    <t>1-1#</t>
  </si>
  <si>
    <t>住宅楼</t>
  </si>
  <si>
    <t>1-2#</t>
  </si>
  <si>
    <t>1-3#</t>
  </si>
  <si>
    <t>1-4#</t>
  </si>
  <si>
    <t>1-5#</t>
  </si>
  <si>
    <t>1-7#</t>
  </si>
  <si>
    <t>1-8#</t>
  </si>
  <si>
    <t>1-10#</t>
  </si>
  <si>
    <t>1-11#</t>
  </si>
  <si>
    <t>1-13#</t>
  </si>
  <si>
    <t>1-14#</t>
  </si>
  <si>
    <t>1-16#</t>
  </si>
  <si>
    <t>1-17#</t>
  </si>
  <si>
    <t>1-19#</t>
  </si>
  <si>
    <t>1-20#</t>
  </si>
  <si>
    <t>1-22#</t>
  </si>
  <si>
    <t>1-23#</t>
  </si>
  <si>
    <t>1-25#</t>
  </si>
  <si>
    <t>1-27#</t>
  </si>
  <si>
    <t>1-29#</t>
  </si>
  <si>
    <t>1-31#</t>
  </si>
  <si>
    <t>1-32#</t>
  </si>
  <si>
    <t>1-34#</t>
  </si>
  <si>
    <t>1-35#</t>
  </si>
  <si>
    <t>1-37#</t>
  </si>
  <si>
    <t>1-38#</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</si>
  <si>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</si>
  <si>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</si>
  <si>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</si>
  <si>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</si>
  <si>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</si>
  <si>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</si>
  <si>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</si>
  <si>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</si>
  <si>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</si>
  <si>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</si>
  <si>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</si>
  <si>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</si>
  <si>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</si>
  <si>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</si>
  <si>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</si>
  <si>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</si>
  <si>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</si>
  <si>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</si>
  <si>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</si>
  <si>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</si>
  <si>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</si>
  <si>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</si>
  <si>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</si>
  <si>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</si>
  <si>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</si>
  <si>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</si>
  <si>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</si>
  <si>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</si>
  <si>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</si>
  <si>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</si>
  <si>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</si>
  <si>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</si>
  <si>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</si>
  <si>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</si>
  <si>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</si>
  <si>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</si>
  <si>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</si>
  <si>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</si>
  <si>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</si>
  <si>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</si>
  <si>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</si>
  <si>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</si>
  <si>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</si>
  <si>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</si>
  <si>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P-2#</t>
  </si>
  <si>
    <t>开闭站</t>
  </si>
  <si>
    <t>配套用房</t>
  </si>
  <si>
    <t>车库</t>
  </si>
  <si>
    <t>人防</t>
  </si>
  <si>
    <t>946个</t>
  </si>
  <si>
    <t>规证二</t>
  </si>
  <si>
    <t>自持</t>
  </si>
  <si>
    <t>1-84#</t>
  </si>
  <si>
    <t>1-85#</t>
  </si>
  <si>
    <t>1-86#</t>
  </si>
  <si>
    <t>1-87#</t>
  </si>
  <si>
    <t>1-88#</t>
  </si>
  <si>
    <t>1-89#</t>
  </si>
  <si>
    <t>1-90#</t>
  </si>
  <si>
    <t>1-91#</t>
  </si>
  <si>
    <t>p-1#</t>
  </si>
  <si>
    <t>托老所</t>
  </si>
  <si>
    <t>21地块</t>
  </si>
  <si>
    <t>31地块</t>
  </si>
  <si>
    <t>自持住宅</t>
  </si>
  <si>
    <t>配套</t>
  </si>
  <si>
    <t>684个</t>
  </si>
  <si>
    <t>是</t>
  </si>
  <si>
    <t>合院</t>
  </si>
  <si>
    <t>合院</t>
    <phoneticPr fontId="16" type="noConversion"/>
  </si>
  <si>
    <t>洋房</t>
  </si>
  <si>
    <t>自持住宅</t>
    <phoneticPr fontId="16" type="noConversion"/>
  </si>
  <si>
    <t>底商</t>
  </si>
  <si>
    <t>仓储</t>
  </si>
  <si>
    <t>戊类库房</t>
  </si>
  <si>
    <t>商业街</t>
  </si>
  <si>
    <t>低密度住宅</t>
    <phoneticPr fontId="3" type="noConversion"/>
  </si>
  <si>
    <t>多层住宅</t>
    <phoneticPr fontId="3" type="noConversion"/>
  </si>
  <si>
    <t>自持住宅</t>
    <phoneticPr fontId="3" type="noConversion"/>
  </si>
  <si>
    <t>商业</t>
    <phoneticPr fontId="3" type="noConversion"/>
  </si>
  <si>
    <t>地下车库</t>
    <phoneticPr fontId="3" type="noConversion"/>
  </si>
  <si>
    <t>库房</t>
    <phoneticPr fontId="3" type="noConversion"/>
  </si>
  <si>
    <t>低密度地下库房</t>
    <phoneticPr fontId="3" type="noConversion"/>
  </si>
  <si>
    <t>一般</t>
  </si>
  <si>
    <t>一般</t>
    <phoneticPr fontId="25" type="noConversion"/>
  </si>
  <si>
    <t>较差</t>
  </si>
  <si>
    <t>较差</t>
    <phoneticPr fontId="25" type="noConversion"/>
  </si>
  <si>
    <t>一般</t>
    <phoneticPr fontId="25" type="noConversion"/>
  </si>
  <si>
    <t>七通</t>
  </si>
  <si>
    <t>七通</t>
    <phoneticPr fontId="25" type="noConversion"/>
  </si>
  <si>
    <t>一般</t>
    <phoneticPr fontId="25" type="noConversion"/>
  </si>
  <si>
    <t>较好</t>
  </si>
  <si>
    <t>较好</t>
    <phoneticPr fontId="25" type="noConversion"/>
  </si>
  <si>
    <t>多面临街</t>
  </si>
  <si>
    <t>成本比率</t>
  </si>
  <si>
    <t>成本法</t>
  </si>
  <si>
    <t>收益法</t>
  </si>
  <si>
    <t>假设开发法</t>
  </si>
  <si>
    <t>在建（套用方法）</t>
  </si>
  <si>
    <t>按租金收入计税</t>
  </si>
  <si>
    <t>押一</t>
  </si>
  <si>
    <t>钢混</t>
  </si>
  <si>
    <t>非生产用房</t>
  </si>
  <si>
    <t>多层住宅</t>
  </si>
  <si>
    <t>低密度地下库房</t>
  </si>
  <si>
    <t>收益法 (商业)</t>
  </si>
  <si>
    <t>收益法 (商业)</t>
    <phoneticPr fontId="16" type="noConversion"/>
  </si>
  <si>
    <t>收益法 (仓储)</t>
  </si>
  <si>
    <t>收益法 (仓储)</t>
    <phoneticPr fontId="16" type="noConversion"/>
  </si>
  <si>
    <t>收益法 (地下车库)</t>
  </si>
  <si>
    <t>收益法 (地下车库)</t>
    <phoneticPr fontId="16"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</si>
  <si>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</si>
  <si>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</si>
  <si>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</si>
  <si>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</si>
  <si>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</si>
  <si>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</si>
  <si>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</si>
  <si>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</si>
  <si>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</si>
  <si>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</si>
  <si>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</si>
  <si>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</si>
  <si>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</si>
  <si>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</si>
  <si>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自持</t>
    <phoneticPr fontId="143" type="noConversion"/>
  </si>
  <si>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</si>
  <si>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</si>
  <si>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</si>
  <si>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</si>
  <si>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</si>
  <si>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</si>
  <si>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</si>
  <si>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</si>
  <si>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</si>
  <si>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</si>
  <si>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</si>
  <si>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</si>
  <si>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</si>
  <si>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</si>
  <si>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</si>
  <si>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</si>
  <si>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</si>
  <si>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</si>
  <si>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</si>
  <si>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</si>
  <si>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</si>
  <si>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</si>
  <si>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</si>
  <si>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</si>
  <si>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</si>
  <si>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</si>
  <si>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</si>
  <si>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</si>
  <si>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</si>
  <si>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</si>
  <si>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</si>
  <si>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</si>
  <si>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</si>
  <si>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</si>
  <si>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</si>
  <si>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</si>
  <si>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</si>
  <si>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</si>
  <si>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</si>
  <si>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</si>
  <si>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</si>
  <si>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</si>
  <si>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</si>
  <si>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</si>
  <si>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</si>
  <si>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</si>
  <si>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r>
      <rPr>
        <sz val="11"/>
        <rFont val="宋体"/>
        <family val="3"/>
        <charset val="134"/>
      </rPr>
      <t>估价对象名称</t>
    </r>
    <phoneticPr fontId="3" type="noConversion"/>
  </si>
  <si>
    <t>未包含在土地购买价格中</t>
  </si>
  <si>
    <t>已包含在土地取得成本中</t>
  </si>
  <si>
    <t>正常</t>
  </si>
  <si>
    <t>综合用地（含住宅）</t>
  </si>
  <si>
    <t>综合用地（含住宅）</t>
    <phoneticPr fontId="31" type="noConversion"/>
  </si>
  <si>
    <t>否</t>
    <phoneticPr fontId="31" type="noConversion"/>
  </si>
  <si>
    <t>是</t>
    <phoneticPr fontId="31" type="noConversion"/>
  </si>
  <si>
    <t>是</t>
    <phoneticPr fontId="31" type="noConversion"/>
  </si>
  <si>
    <t>自持</t>
    <phoneticPr fontId="31" type="noConversion"/>
  </si>
  <si>
    <t>单面临街</t>
  </si>
  <si>
    <t>次干道</t>
    <phoneticPr fontId="25"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</si>
  <si>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</si>
  <si>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</si>
  <si>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</si>
  <si>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</si>
  <si>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</si>
  <si>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</si>
  <si>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</si>
  <si>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</si>
  <si>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</si>
  <si>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</si>
  <si>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</si>
  <si>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</si>
  <si>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</si>
  <si>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</si>
  <si>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</si>
  <si>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</si>
  <si>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</si>
  <si>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</si>
  <si>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</si>
  <si>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</si>
  <si>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</si>
  <si>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</si>
  <si>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</si>
  <si>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phoneticPr fontId="31" type="noConversion"/>
  </si>
  <si>
    <r>
      <rPr>
        <b/>
        <sz val="11"/>
        <rFont val="宋体"/>
        <family val="3"/>
        <charset val="134"/>
      </rPr>
      <t>估价对象住宅用地比较价值（楼面单价，元</t>
    </r>
    <r>
      <rPr>
        <b/>
        <sz val="11"/>
        <rFont val="Arial"/>
        <family val="2"/>
      </rPr>
      <t>/</t>
    </r>
    <r>
      <rPr>
        <b/>
        <sz val="11"/>
        <rFont val="宋体"/>
        <family val="3"/>
        <charset val="134"/>
      </rPr>
      <t>平方米）</t>
    </r>
    <phoneticPr fontId="3" type="noConversion"/>
  </si>
  <si>
    <t>临三通</t>
  </si>
  <si>
    <t>临三通</t>
    <phoneticPr fontId="31" type="noConversion"/>
  </si>
  <si>
    <t>工程进度</t>
  </si>
  <si>
    <t>工程进度</t>
    <phoneticPr fontId="143" type="noConversion"/>
  </si>
  <si>
    <t>封顶</t>
    <phoneticPr fontId="143" type="noConversion"/>
  </si>
  <si>
    <t>1层</t>
    <phoneticPr fontId="143" type="noConversion"/>
  </si>
  <si>
    <t>地下1层</t>
    <phoneticPr fontId="143" type="noConversion"/>
  </si>
  <si>
    <t>地下2层</t>
    <phoneticPr fontId="143" type="noConversion"/>
  </si>
  <si>
    <t>地下3层</t>
    <phoneticPr fontId="143" type="noConversion"/>
  </si>
  <si>
    <t>坑基</t>
    <phoneticPr fontId="143" type="noConversion"/>
  </si>
  <si>
    <t>未动工</t>
    <phoneticPr fontId="143" type="noConversion"/>
  </si>
  <si>
    <t>内装</t>
    <phoneticPr fontId="143" type="noConversion"/>
  </si>
  <si>
    <t>外装、设备二次机构等</t>
    <phoneticPr fontId="143" type="noConversion"/>
  </si>
  <si>
    <t>地下3层</t>
    <phoneticPr fontId="143" type="noConversion"/>
  </si>
  <si>
    <t>1层</t>
    <phoneticPr fontId="143" type="noConversion"/>
  </si>
  <si>
    <t>地下1层</t>
    <phoneticPr fontId="143" type="noConversion"/>
  </si>
  <si>
    <t>地下2层</t>
    <phoneticPr fontId="143" type="noConversion"/>
  </si>
  <si>
    <t>1层</t>
    <phoneticPr fontId="143" type="noConversion"/>
  </si>
  <si>
    <t>1层</t>
    <phoneticPr fontId="143" type="noConversion"/>
  </si>
  <si>
    <t>坑基</t>
    <phoneticPr fontId="143" type="noConversion"/>
  </si>
  <si>
    <t>工程进度</t>
    <phoneticPr fontId="143" type="noConversion"/>
  </si>
  <si>
    <t>项目全部</t>
  </si>
  <si>
    <t>测绘报告</t>
    <phoneticPr fontId="143" type="noConversion"/>
  </si>
  <si>
    <t>汽车</t>
    <phoneticPr fontId="143" type="noConversion"/>
  </si>
  <si>
    <t>住宅</t>
    <phoneticPr fontId="143" type="noConversion"/>
  </si>
  <si>
    <t>库房</t>
    <phoneticPr fontId="143" type="noConversion"/>
  </si>
  <si>
    <t>地下总</t>
    <phoneticPr fontId="143" type="noConversion"/>
  </si>
  <si>
    <t>地下设备</t>
    <phoneticPr fontId="143" type="noConversion"/>
  </si>
  <si>
    <t>已售部分</t>
    <phoneticPr fontId="3" type="noConversion"/>
  </si>
  <si>
    <t>户数</t>
    <phoneticPr fontId="254" type="noConversion"/>
  </si>
  <si>
    <t>房号</t>
    <phoneticPr fontId="254" type="noConversion"/>
  </si>
  <si>
    <t>住宅</t>
    <phoneticPr fontId="254" type="noConversion"/>
  </si>
  <si>
    <t>仓储</t>
    <phoneticPr fontId="254" type="noConversion"/>
  </si>
  <si>
    <t>车库</t>
    <phoneticPr fontId="254" type="noConversion"/>
  </si>
  <si>
    <t>合计</t>
    <phoneticPr fontId="254" type="noConversion"/>
  </si>
  <si>
    <t>地上</t>
    <phoneticPr fontId="254" type="noConversion"/>
  </si>
  <si>
    <t>地下</t>
    <phoneticPr fontId="254" type="noConversion"/>
  </si>
  <si>
    <t>合计</t>
    <phoneticPr fontId="254" type="noConversion"/>
  </si>
  <si>
    <t>买受人</t>
  </si>
  <si>
    <t>楼号　　　　</t>
  </si>
  <si>
    <t>房号　　</t>
  </si>
  <si>
    <t>合同编号</t>
  </si>
  <si>
    <t>签约日期</t>
  </si>
  <si>
    <t>总价(元)</t>
  </si>
  <si>
    <t>赵珊珊</t>
  </si>
  <si>
    <t>1-1#住宅楼</t>
  </si>
  <si>
    <t>Y2132070</t>
  </si>
  <si>
    <t>Y2134864</t>
  </si>
  <si>
    <t>1-4#住宅楼</t>
  </si>
  <si>
    <t>Y2137526</t>
  </si>
  <si>
    <t>王梦婷</t>
  </si>
  <si>
    <t>1-7#住宅楼</t>
  </si>
  <si>
    <t>Y2132071</t>
  </si>
  <si>
    <t>Y2136176</t>
  </si>
  <si>
    <t>史玉峰</t>
  </si>
  <si>
    <t>1-9#住宅楼</t>
  </si>
  <si>
    <t>Y2134333</t>
  </si>
  <si>
    <t>Y2133795</t>
  </si>
  <si>
    <t>庞新萍</t>
  </si>
  <si>
    <t>1-11#住宅楼</t>
  </si>
  <si>
    <t>Y2132131</t>
  </si>
  <si>
    <t>Y2134325</t>
  </si>
  <si>
    <t>崔国静</t>
  </si>
  <si>
    <t>1-14#住宅楼</t>
  </si>
  <si>
    <t>Y2133458</t>
  </si>
  <si>
    <t>Y2135137</t>
  </si>
  <si>
    <t>马淑敏</t>
  </si>
  <si>
    <t>1-16#住宅楼</t>
  </si>
  <si>
    <t>Y2132069</t>
  </si>
  <si>
    <t>徐静</t>
  </si>
  <si>
    <t>Y2134323</t>
  </si>
  <si>
    <t>Y2136259</t>
  </si>
  <si>
    <t>Y2132306</t>
  </si>
  <si>
    <t>肖赛</t>
  </si>
  <si>
    <t>1-19#住宅楼</t>
  </si>
  <si>
    <t>Y2132129</t>
  </si>
  <si>
    <t>刘志</t>
  </si>
  <si>
    <t>Y2131525</t>
  </si>
  <si>
    <t>Y2134327</t>
  </si>
  <si>
    <t>Y2134328</t>
  </si>
  <si>
    <t>黄智龙</t>
  </si>
  <si>
    <t>1-21#住宅楼</t>
  </si>
  <si>
    <t>Y2136977</t>
  </si>
  <si>
    <t>Y2137664</t>
  </si>
  <si>
    <t>李菲菲</t>
  </si>
  <si>
    <t>1-24#住宅楼</t>
  </si>
  <si>
    <t>Y2132024</t>
  </si>
  <si>
    <t>Y2134329</t>
  </si>
  <si>
    <t>马悦</t>
  </si>
  <si>
    <t>1-26#住宅楼</t>
  </si>
  <si>
    <t>Y2133156</t>
  </si>
  <si>
    <t>Y2141446</t>
  </si>
  <si>
    <t>陈达</t>
  </si>
  <si>
    <t>1-33#住宅楼</t>
  </si>
  <si>
    <t>Y2138775</t>
  </si>
  <si>
    <t>Y2141888</t>
  </si>
  <si>
    <t>李志强</t>
  </si>
  <si>
    <t>1-34#住宅楼</t>
  </si>
  <si>
    <t>Y2132073</t>
  </si>
  <si>
    <t>Y2135481</t>
  </si>
  <si>
    <t>张蓓</t>
  </si>
  <si>
    <t>1-38#住宅楼</t>
  </si>
  <si>
    <t>Y2137523</t>
  </si>
  <si>
    <t>Y2141997</t>
  </si>
  <si>
    <t>吴含敏</t>
  </si>
  <si>
    <t>1-39#住宅楼</t>
  </si>
  <si>
    <t>Y2134331</t>
  </si>
  <si>
    <t>Y2132317</t>
  </si>
  <si>
    <t>吴肃元</t>
  </si>
  <si>
    <t>1-44#住宅楼</t>
  </si>
  <si>
    <t>Y2132023</t>
  </si>
  <si>
    <t>Y2134928</t>
  </si>
  <si>
    <t>赵颖琪</t>
  </si>
  <si>
    <t>1-50#住宅楼</t>
  </si>
  <si>
    <t>Y2138776</t>
  </si>
  <si>
    <t>地库</t>
  </si>
  <si>
    <t>Y2133320</t>
  </si>
  <si>
    <t>Y2133321</t>
  </si>
  <si>
    <t>Y2133322</t>
  </si>
  <si>
    <t>Y2133323</t>
  </si>
  <si>
    <t>Y2133324</t>
  </si>
  <si>
    <t>Y2133325</t>
  </si>
  <si>
    <t>Y2137667</t>
  </si>
  <si>
    <t>Y2137668</t>
  </si>
  <si>
    <t>Y2141444</t>
  </si>
  <si>
    <t>Y2141443</t>
  </si>
  <si>
    <t>Y2133912</t>
  </si>
  <si>
    <t>Y2133911</t>
  </si>
  <si>
    <t>Y2133745</t>
  </si>
  <si>
    <t>Y2133758</t>
  </si>
  <si>
    <t>Y2134083</t>
  </si>
  <si>
    <t>Y2134043</t>
  </si>
  <si>
    <t>Y2134081</t>
  </si>
  <si>
    <t>Y2133804</t>
  </si>
  <si>
    <t>Y2134152</t>
  </si>
  <si>
    <t>Y2134151</t>
  </si>
  <si>
    <t>Y2133499</t>
  </si>
  <si>
    <t>Y2133500</t>
  </si>
  <si>
    <t>Y2135140</t>
  </si>
  <si>
    <t>Y2135141</t>
  </si>
  <si>
    <t>Y2134980</t>
  </si>
  <si>
    <t>Y2134779</t>
  </si>
  <si>
    <t>Y2136069</t>
  </si>
  <si>
    <t>Y2136070</t>
  </si>
  <si>
    <t>Y2136262</t>
  </si>
  <si>
    <t>Y2136264</t>
  </si>
  <si>
    <t>Y2141886</t>
  </si>
  <si>
    <t>Y2141889</t>
  </si>
  <si>
    <t>Y2141957</t>
  </si>
  <si>
    <t>Y2141962</t>
  </si>
  <si>
    <t>序号</t>
  </si>
  <si>
    <t>备注</t>
  </si>
  <si>
    <t>陈硕</t>
  </si>
  <si>
    <t>万建民</t>
  </si>
  <si>
    <t>1-10#住宅楼</t>
  </si>
  <si>
    <t>待签字</t>
  </si>
  <si>
    <t>彭佳瞳</t>
  </si>
  <si>
    <t>1-28#住宅楼</t>
  </si>
  <si>
    <t>报送中</t>
  </si>
  <si>
    <t>刘迪</t>
  </si>
  <si>
    <t>1-35#住宅楼</t>
  </si>
  <si>
    <t>1-51#住宅楼</t>
  </si>
  <si>
    <t>李世鹏</t>
  </si>
  <si>
    <t>1-59#住宅楼</t>
  </si>
  <si>
    <t>实际收入</t>
  </si>
  <si>
    <t>销售面积模拟</t>
  </si>
  <si>
    <t>成本面积模拟</t>
  </si>
  <si>
    <t>地上/地下</t>
    <phoneticPr fontId="143" type="noConversion"/>
  </si>
  <si>
    <t>销售统计</t>
    <phoneticPr fontId="143" type="noConversion"/>
  </si>
  <si>
    <t>地下3层</t>
    <phoneticPr fontId="143" type="noConversion"/>
  </si>
  <si>
    <t>车库</t>
    <phoneticPr fontId="143" type="noConversion"/>
  </si>
  <si>
    <t>84-91#</t>
    <phoneticPr fontId="143" type="noConversion"/>
  </si>
  <si>
    <t>封顶</t>
    <phoneticPr fontId="143" type="noConversion"/>
  </si>
  <si>
    <r>
      <t>031</t>
    </r>
    <r>
      <rPr>
        <b/>
        <sz val="9"/>
        <color rgb="FF000000"/>
        <rFont val="华文细黑"/>
        <family val="3"/>
        <charset val="134"/>
      </rPr>
      <t>号地块</t>
    </r>
  </si>
  <si>
    <t>类别</t>
  </si>
  <si>
    <t>项目类型</t>
  </si>
  <si>
    <t>规划建筑面积（㎡）</t>
  </si>
  <si>
    <t>本次可抵押在建建筑物建筑面积</t>
  </si>
  <si>
    <t>经营性</t>
  </si>
  <si>
    <t>多层住宅地下库房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</si>
  <si>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</si>
  <si>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</si>
  <si>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</si>
  <si>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</si>
  <si>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</si>
  <si>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</si>
  <si>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</si>
  <si>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</si>
  <si>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</si>
  <si>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</si>
  <si>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</si>
  <si>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房号</t>
  </si>
  <si>
    <t>1-1#</t>
    <phoneticPr fontId="143" type="noConversion"/>
  </si>
  <si>
    <t>楼号</t>
  </si>
  <si>
    <t>已完工规划建筑面积（㎡）</t>
  </si>
  <si>
    <t>总规划建筑面积</t>
  </si>
  <si>
    <t>地上规划建筑面积</t>
  </si>
  <si>
    <t>地下规划建筑面积</t>
  </si>
  <si>
    <t>配套用房及设备</t>
  </si>
  <si>
    <t>仓储用房</t>
  </si>
  <si>
    <t>地下车库用房</t>
  </si>
  <si>
    <t>地下商业</t>
  </si>
  <si>
    <t>配套用房及其他</t>
  </si>
  <si>
    <r>
      <t>主体结构至地下</t>
    </r>
    <r>
      <rPr>
        <sz val="9"/>
        <color rgb="FF000000"/>
        <rFont val="Arial"/>
        <family val="2"/>
      </rPr>
      <t>3</t>
    </r>
    <r>
      <rPr>
        <sz val="9"/>
        <color rgb="FF000000"/>
        <rFont val="华文细黑"/>
        <family val="3"/>
        <charset val="134"/>
      </rPr>
      <t>层</t>
    </r>
  </si>
  <si>
    <r>
      <t>主体结构至</t>
    </r>
    <r>
      <rPr>
        <sz val="9"/>
        <color rgb="FF000000"/>
        <rFont val="Arial"/>
        <family val="2"/>
      </rPr>
      <t>1</t>
    </r>
    <r>
      <rPr>
        <sz val="9"/>
        <color rgb="FF000000"/>
        <rFont val="华文细黑"/>
        <family val="3"/>
        <charset val="134"/>
      </rPr>
      <t>层</t>
    </r>
  </si>
  <si>
    <t>主体结构至结构封顶</t>
  </si>
  <si>
    <r>
      <t>主体结构至地下</t>
    </r>
    <r>
      <rPr>
        <sz val="9"/>
        <color rgb="FF000000"/>
        <rFont val="Arial"/>
        <family val="2"/>
      </rPr>
      <t>2</t>
    </r>
    <r>
      <rPr>
        <sz val="9"/>
        <color rgb="FF000000"/>
        <rFont val="华文细黑"/>
        <family val="3"/>
        <charset val="134"/>
      </rPr>
      <t>层</t>
    </r>
  </si>
  <si>
    <r>
      <t>主体结构至地下</t>
    </r>
    <r>
      <rPr>
        <sz val="9"/>
        <color rgb="FF000000"/>
        <rFont val="Arial"/>
        <family val="2"/>
      </rPr>
      <t>1</t>
    </r>
    <r>
      <rPr>
        <sz val="9"/>
        <color rgb="FF000000"/>
        <rFont val="华文细黑"/>
        <family val="3"/>
        <charset val="134"/>
      </rPr>
      <t>层</t>
    </r>
  </si>
  <si>
    <t>正在进行筏板施工</t>
  </si>
  <si>
    <t>小计　</t>
  </si>
  <si>
    <t>1-84-91#</t>
  </si>
  <si>
    <t>——</t>
    <phoneticPr fontId="143" type="noConversion"/>
  </si>
  <si>
    <t>——</t>
    <phoneticPr fontId="143" type="noConversion"/>
  </si>
  <si>
    <t>——</t>
    <phoneticPr fontId="143" type="noConversion"/>
  </si>
  <si>
    <t>——</t>
    <phoneticPr fontId="143" type="noConversion"/>
  </si>
  <si>
    <t>除已售部分以外其他在建建筑物</t>
    <phoneticPr fontId="143" type="noConversion"/>
  </si>
  <si>
    <t>估价对象名称</t>
    <phoneticPr fontId="143" type="noConversion"/>
  </si>
  <si>
    <t>建筑面积</t>
    <phoneticPr fontId="143" type="noConversion"/>
  </si>
  <si>
    <t>分摊土地面积</t>
    <phoneticPr fontId="143" type="noConversion"/>
  </si>
  <si>
    <t>项目名称</t>
  </si>
  <si>
    <t>规划建筑面积（不含人防）</t>
  </si>
  <si>
    <t>分摊土地面积（不含人防）</t>
  </si>
  <si>
    <t>（不含人防）</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</si>
  <si>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</si>
  <si>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</si>
  <si>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</si>
  <si>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</si>
  <si>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</si>
  <si>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</si>
  <si>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号地块除已售房地产以外全部房地产分摊出让国有建设用地使用权及在建建筑物房地产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</si>
  <si>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</si>
  <si>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</si>
  <si>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元整</t>
  </si>
  <si>
    <t>估价师知悉的法定优先受偿款</t>
  </si>
  <si>
    <t>零元整</t>
  </si>
  <si>
    <t>万建民</t>
    <phoneticPr fontId="143" type="noConversion"/>
  </si>
  <si>
    <t>万建民</t>
    <phoneticPr fontId="143" type="noConversion"/>
  </si>
  <si>
    <t>地库</t>
    <phoneticPr fontId="143" type="noConversion"/>
  </si>
  <si>
    <t>地库</t>
    <phoneticPr fontId="143" type="noConversion"/>
  </si>
  <si>
    <t>0077</t>
  </si>
  <si>
    <t>0078</t>
  </si>
  <si>
    <t>0023</t>
  </si>
  <si>
    <t>0024</t>
  </si>
  <si>
    <t>赵颖琪</t>
    <phoneticPr fontId="143" type="noConversion"/>
  </si>
  <si>
    <t>彭佳瞳</t>
    <phoneticPr fontId="143" type="noConversion"/>
  </si>
  <si>
    <t>刘迪</t>
    <phoneticPr fontId="143" type="noConversion"/>
  </si>
  <si>
    <t>李世宁</t>
    <phoneticPr fontId="143" type="noConversion"/>
  </si>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</sst>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000000_ "/>
    <numFmt numFmtId="199" formatCode="0.00000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9"/>
      <color rgb="FF000000"/>
      <name val="ˎ̥"/>
      <family val="2"/>
    </font>
    <font>
      <sz val="9"/>
      <color rgb="FF000000"/>
      <name val="宋体"/>
      <family val="3"/>
      <charset val="134"/>
    </font>
    <font>
      <sz val="10"/>
      <color theme="1"/>
      <name val="Times New Roman"/>
      <family val="1"/>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Arial"/>
      <family val="2"/>
    </font>
    <font>
      <sz val="9"/>
      <color theme="1"/>
      <name val="华文细黑"/>
      <family val="3"/>
      <charset val="134"/>
    </font>
    <font>
      <sz val="10.5"/>
      <color theme="1"/>
      <name val="Arial"/>
      <family val="2"/>
    </font>
    <font>
      <sz val="10.5"/>
      <color rgb="FF000000"/>
      <name val="Arial"/>
      <family val="2"/>
    </font>
    <font>
      <sz val="9"/>
      <color rgb="FF000000"/>
      <name val="宋体"/>
      <family val="3"/>
      <charset val="134"/>
      <scheme val="minor"/>
    </font>
    <font>
      <sz val="9"/>
      <color theme="1"/>
      <name val="宋体"/>
      <family val="3"/>
      <charset val="134"/>
      <scheme val="minor"/>
    </font>
    <font>
      <sz val="8"/>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95D5FF"/>
        <bgColor indexed="64"/>
      </patternFill>
    </fill>
    <fill>
      <patternFill patternType="solid">
        <fgColor rgb="FFDCDCDC"/>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99" fillId="0" borderId="0" xfId="0" applyFont="1">
      <alignment vertical="center"/>
    </xf>
    <xf numFmtId="2" fontId="0" fillId="0" borderId="0" xfId="0" applyNumberFormat="1">
      <alignment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179" fontId="99" fillId="0" borderId="0" xfId="0" applyNumberFormat="1" applyFont="1">
      <alignment vertical="center"/>
    </xf>
    <xf numFmtId="0" fontId="0" fillId="0" borderId="0" xfId="0" applyFont="1" applyFill="1"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19" fillId="0" borderId="1" xfId="0" applyFont="1" applyBorder="1" applyAlignment="1">
      <alignment horizontal="center" vertical="center" wrapText="1"/>
    </xf>
    <xf numFmtId="0" fontId="119" fillId="0" borderId="0" xfId="0" applyFont="1" applyAlignment="1">
      <alignment horizontal="center" vertical="center" wrapText="1"/>
    </xf>
    <xf numFmtId="0" fontId="113" fillId="17" borderId="1" xfId="0" applyFont="1" applyFill="1" applyBorder="1" applyAlignment="1">
      <alignment horizontal="center" vertical="center" wrapText="1"/>
    </xf>
    <xf numFmtId="9" fontId="113" fillId="17" borderId="0" xfId="0" applyNumberFormat="1" applyFont="1" applyFill="1" applyAlignment="1">
      <alignment horizontal="center" vertical="center" wrapText="1"/>
    </xf>
    <xf numFmtId="0" fontId="113" fillId="17" borderId="0" xfId="0" applyFont="1" applyFill="1" applyAlignment="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113" fillId="9" borderId="1" xfId="0" applyFont="1" applyFill="1" applyBorder="1" applyAlignment="1">
      <alignment horizontal="center" vertical="center" wrapText="1"/>
    </xf>
    <xf numFmtId="9" fontId="113" fillId="9" borderId="0" xfId="0" applyNumberFormat="1" applyFont="1" applyFill="1" applyAlignment="1">
      <alignment horizontal="center" vertical="center" wrapText="1"/>
    </xf>
    <xf numFmtId="0" fontId="113" fillId="9" borderId="0" xfId="0" applyFont="1"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9" fontId="0" fillId="0" borderId="0" xfId="0" applyNumberFormat="1">
      <alignment vertical="center"/>
    </xf>
    <xf numFmtId="10" fontId="99" fillId="0" borderId="0" xfId="0" applyNumberFormat="1"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0" xfId="0" applyFont="1" applyBorder="1" applyAlignment="1">
      <alignment horizontal="center" vertical="center"/>
    </xf>
    <xf numFmtId="0" fontId="99" fillId="0" borderId="0" xfId="0" applyFont="1" applyFill="1" applyBorder="1" applyAlignment="1">
      <alignment horizontal="center" vertical="center"/>
    </xf>
    <xf numFmtId="2" fontId="0" fillId="0" borderId="0" xfId="0" applyNumberFormat="1" applyAlignment="1">
      <alignment horizontal="center" vertical="center"/>
    </xf>
    <xf numFmtId="0" fontId="0" fillId="9" borderId="0" xfId="0" applyFill="1">
      <alignment vertical="center"/>
    </xf>
    <xf numFmtId="0" fontId="0" fillId="5" borderId="0" xfId="0" applyFill="1">
      <alignment vertical="center"/>
    </xf>
    <xf numFmtId="0" fontId="0" fillId="0" borderId="1" xfId="0" applyBorder="1" applyAlignment="1">
      <alignment horizontal="center" vertical="center"/>
    </xf>
    <xf numFmtId="0" fontId="0" fillId="0" borderId="0" xfId="0" applyFill="1">
      <alignment vertical="center"/>
    </xf>
    <xf numFmtId="0" fontId="80" fillId="0" borderId="1" xfId="0" applyFont="1" applyBorder="1" applyAlignment="1" applyProtection="1">
      <alignment vertical="center" wrapText="1"/>
      <protection locked="0"/>
    </xf>
    <xf numFmtId="0" fontId="0" fillId="17" borderId="0" xfId="0" applyFill="1">
      <alignment vertical="center"/>
    </xf>
    <xf numFmtId="0" fontId="0" fillId="17" borderId="1" xfId="0" applyFill="1" applyBorder="1" applyAlignment="1">
      <alignment horizontal="center" vertical="center"/>
    </xf>
    <xf numFmtId="0" fontId="0" fillId="17" borderId="0" xfId="0" applyFill="1" applyBorder="1" applyAlignment="1">
      <alignment horizontal="center" vertical="center"/>
    </xf>
    <xf numFmtId="0" fontId="0" fillId="0" borderId="0" xfId="0" applyAlignment="1">
      <alignment vertical="center"/>
    </xf>
    <xf numFmtId="0" fontId="0" fillId="0" borderId="1" xfId="0" applyBorder="1">
      <alignment vertical="center"/>
    </xf>
    <xf numFmtId="0" fontId="210" fillId="0" borderId="1" xfId="0" applyFont="1" applyBorder="1" applyAlignment="1">
      <alignment horizontal="center" vertical="center"/>
    </xf>
    <xf numFmtId="0" fontId="210" fillId="0" borderId="0" xfId="0" applyFont="1">
      <alignment vertical="center"/>
    </xf>
    <xf numFmtId="0" fontId="255" fillId="18" borderId="1" xfId="0" applyFont="1" applyFill="1" applyBorder="1" applyAlignment="1">
      <alignment vertical="center"/>
    </xf>
    <xf numFmtId="0" fontId="255" fillId="18" borderId="1" xfId="0" applyFont="1" applyFill="1" applyBorder="1" applyAlignment="1">
      <alignment horizontal="center" vertical="center"/>
    </xf>
    <xf numFmtId="0" fontId="255" fillId="19" borderId="1" xfId="0" applyFont="1" applyFill="1" applyBorder="1" applyAlignment="1">
      <alignment vertical="center" wrapText="1"/>
    </xf>
    <xf numFmtId="0" fontId="255" fillId="19" borderId="1" xfId="0" applyFont="1" applyFill="1" applyBorder="1" applyAlignment="1">
      <alignment horizontal="center" vertical="center" wrapText="1"/>
    </xf>
    <xf numFmtId="14" fontId="255" fillId="19" borderId="1" xfId="0" applyNumberFormat="1" applyFont="1" applyFill="1" applyBorder="1" applyAlignment="1">
      <alignment vertical="center" wrapText="1"/>
    </xf>
    <xf numFmtId="0" fontId="256" fillId="17" borderId="1" xfId="0" applyFont="1" applyFill="1" applyBorder="1" applyAlignment="1">
      <alignment vertical="center" wrapText="1"/>
    </xf>
    <xf numFmtId="0" fontId="255" fillId="12" borderId="1" xfId="0" applyFont="1" applyFill="1" applyBorder="1" applyAlignment="1">
      <alignment vertical="center" wrapText="1"/>
    </xf>
    <xf numFmtId="0" fontId="255" fillId="12" borderId="1" xfId="0" applyFont="1" applyFill="1" applyBorder="1" applyAlignment="1">
      <alignment horizontal="center" vertical="center" wrapText="1"/>
    </xf>
    <xf numFmtId="0" fontId="0" fillId="0" borderId="1" xfId="0" applyFill="1" applyBorder="1" applyAlignment="1">
      <alignment horizontal="center" vertical="center"/>
    </xf>
    <xf numFmtId="0" fontId="255" fillId="9" borderId="1" xfId="0" applyFont="1" applyFill="1" applyBorder="1" applyAlignment="1">
      <alignment vertical="center" wrapText="1"/>
    </xf>
    <xf numFmtId="0" fontId="255" fillId="17" borderId="1" xfId="0" applyFont="1" applyFill="1" applyBorder="1" applyAlignment="1">
      <alignment vertical="center" wrapText="1"/>
    </xf>
    <xf numFmtId="0" fontId="0" fillId="0" borderId="15" xfId="0" applyBorder="1" applyAlignment="1">
      <alignment horizontal="center" vertical="center"/>
    </xf>
    <xf numFmtId="0" fontId="255" fillId="19" borderId="15" xfId="0" applyFont="1" applyFill="1" applyBorder="1" applyAlignment="1">
      <alignment vertical="center" wrapText="1"/>
    </xf>
    <xf numFmtId="0" fontId="255" fillId="19" borderId="0" xfId="0" applyFont="1" applyFill="1" applyBorder="1" applyAlignment="1">
      <alignment vertical="center" wrapText="1"/>
    </xf>
    <xf numFmtId="14" fontId="255" fillId="19" borderId="0" xfId="0" applyNumberFormat="1" applyFont="1" applyFill="1" applyBorder="1" applyAlignment="1">
      <alignment vertical="center" wrapText="1"/>
    </xf>
    <xf numFmtId="0" fontId="255" fillId="19" borderId="0"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0" xfId="0" applyFont="1">
      <alignment vertical="center"/>
    </xf>
    <xf numFmtId="2" fontId="113" fillId="0" borderId="1" xfId="0" applyNumberFormat="1" applyFont="1" applyBorder="1" applyAlignment="1">
      <alignment horizontal="center" vertical="center"/>
    </xf>
    <xf numFmtId="179" fontId="113" fillId="0" borderId="1" xfId="0" applyNumberFormat="1" applyFont="1" applyBorder="1" applyAlignment="1">
      <alignment horizontal="center" vertical="center"/>
    </xf>
    <xf numFmtId="197" fontId="113" fillId="0" borderId="1" xfId="0" applyNumberFormat="1" applyFont="1" applyBorder="1" applyAlignment="1">
      <alignment horizontal="center" vertical="center"/>
    </xf>
    <xf numFmtId="0" fontId="113" fillId="9" borderId="0" xfId="0" applyFont="1" applyFill="1">
      <alignment vertical="center"/>
    </xf>
    <xf numFmtId="0" fontId="113" fillId="0" borderId="0" xfId="0" applyFont="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13" fillId="0" borderId="1" xfId="0" applyFont="1" applyBorder="1" applyAlignment="1">
      <alignment horizontal="center" vertical="center"/>
    </xf>
    <xf numFmtId="2" fontId="99" fillId="0" borderId="0" xfId="0" applyNumberFormat="1" applyFont="1">
      <alignment vertical="center"/>
    </xf>
    <xf numFmtId="198" fontId="0" fillId="0" borderId="0" xfId="0" applyNumberFormat="1">
      <alignment vertical="center"/>
    </xf>
    <xf numFmtId="199" fontId="0" fillId="0" borderId="0" xfId="0" applyNumberFormat="1">
      <alignment vertical="center"/>
    </xf>
    <xf numFmtId="0" fontId="260" fillId="0" borderId="43" xfId="0" applyFont="1" applyBorder="1">
      <alignment vertical="center"/>
    </xf>
    <xf numFmtId="0" fontId="259" fillId="0" borderId="43" xfId="0" applyFont="1" applyBorder="1">
      <alignment vertical="center"/>
    </xf>
    <xf numFmtId="0" fontId="261" fillId="0" borderId="43" xfId="0" applyFont="1" applyBorder="1">
      <alignment vertical="center"/>
    </xf>
    <xf numFmtId="0" fontId="262" fillId="0" borderId="43" xfId="0" applyFont="1" applyBorder="1">
      <alignment vertical="center"/>
    </xf>
    <xf numFmtId="0" fontId="258" fillId="0" borderId="43" xfId="0" applyFont="1" applyBorder="1">
      <alignment vertical="center"/>
    </xf>
    <xf numFmtId="0" fontId="258" fillId="0" borderId="43" xfId="0" applyFont="1" applyBorder="1" applyAlignment="1">
      <alignment vertical="center" wrapText="1"/>
    </xf>
    <xf numFmtId="0" fontId="113" fillId="9" borderId="1" xfId="0" applyFont="1" applyFill="1" applyBorder="1" applyAlignment="1">
      <alignment horizontal="center" vertical="center"/>
    </xf>
    <xf numFmtId="0" fontId="113" fillId="0" borderId="1" xfId="0" applyFont="1" applyFill="1" applyBorder="1" applyAlignment="1">
      <alignment horizontal="center" vertical="center"/>
    </xf>
    <xf numFmtId="0" fontId="99" fillId="0" borderId="1" xfId="0" applyFont="1" applyBorder="1">
      <alignment vertical="center"/>
    </xf>
    <xf numFmtId="10" fontId="0" fillId="0" borderId="1" xfId="0" applyNumberFormat="1" applyBorder="1">
      <alignment vertical="center"/>
    </xf>
    <xf numFmtId="10" fontId="99" fillId="0" borderId="1" xfId="0" applyNumberFormat="1" applyFont="1" applyBorder="1">
      <alignment vertical="center"/>
    </xf>
    <xf numFmtId="9" fontId="0" fillId="0" borderId="1" xfId="0" applyNumberFormat="1" applyBorder="1">
      <alignment vertical="center"/>
    </xf>
    <xf numFmtId="0" fontId="0" fillId="9" borderId="1" xfId="0" applyFill="1" applyBorder="1">
      <alignment vertical="center"/>
    </xf>
    <xf numFmtId="0" fontId="261" fillId="0" borderId="43" xfId="0" applyFont="1" applyBorder="1" applyAlignment="1">
      <alignment vertical="center" wrapText="1"/>
    </xf>
    <xf numFmtId="0" fontId="262" fillId="0" borderId="81" xfId="0" applyFont="1" applyBorder="1">
      <alignment vertical="center"/>
    </xf>
    <xf numFmtId="0" fontId="263" fillId="0" borderId="43" xfId="0" applyFont="1" applyBorder="1">
      <alignment vertical="center"/>
    </xf>
    <xf numFmtId="0" fontId="262" fillId="0" borderId="43" xfId="0" applyFont="1" applyBorder="1" applyAlignment="1">
      <alignment vertical="center" wrapText="1"/>
    </xf>
    <xf numFmtId="0" fontId="261" fillId="0" borderId="81" xfId="0" applyFont="1" applyBorder="1">
      <alignment vertical="center"/>
    </xf>
    <xf numFmtId="0" fontId="257" fillId="0" borderId="43" xfId="0" applyFont="1" applyBorder="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262" fillId="0" borderId="43" xfId="0" applyFont="1" applyBorder="1">
      <alignment vertical="center"/>
    </xf>
    <xf numFmtId="0" fontId="264" fillId="0" borderId="160" xfId="0" applyFont="1" applyBorder="1" applyAlignment="1">
      <alignment vertical="center" wrapText="1"/>
    </xf>
    <xf numFmtId="0" fontId="264" fillId="0" borderId="161" xfId="0" applyFont="1" applyBorder="1" applyAlignment="1">
      <alignment vertical="center" wrapText="1"/>
    </xf>
    <xf numFmtId="0" fontId="264" fillId="0" borderId="158" xfId="0" applyFont="1" applyBorder="1" applyAlignment="1">
      <alignment vertical="center" wrapText="1"/>
    </xf>
    <xf numFmtId="0" fontId="263" fillId="0" borderId="161" xfId="0" applyFont="1" applyBorder="1" applyAlignment="1">
      <alignment vertical="center" wrapText="1"/>
    </xf>
    <xf numFmtId="0" fontId="265" fillId="0" borderId="161" xfId="0" applyFont="1" applyBorder="1" applyAlignment="1">
      <alignment vertical="center" wrapText="1"/>
    </xf>
    <xf numFmtId="0" fontId="266" fillId="0" borderId="161" xfId="0" applyFont="1" applyBorder="1" applyAlignment="1">
      <alignment vertical="center" wrapText="1"/>
    </xf>
    <xf numFmtId="0" fontId="256" fillId="19" borderId="0" xfId="0" applyFont="1" applyFill="1" applyBorder="1" applyAlignment="1">
      <alignment vertical="center" wrapText="1"/>
    </xf>
    <xf numFmtId="0" fontId="267" fillId="7" borderId="1" xfId="0" applyFont="1" applyFill="1" applyBorder="1" applyAlignment="1">
      <alignment horizontal="center" vertical="center" wrapText="1"/>
    </xf>
    <xf numFmtId="0" fontId="268" fillId="7" borderId="0" xfId="0" applyFont="1" applyFill="1">
      <alignment vertical="center"/>
    </xf>
    <xf numFmtId="0" fontId="268" fillId="7" borderId="1" xfId="0" applyFont="1" applyFill="1" applyBorder="1" applyAlignment="1">
      <alignment horizontal="center" vertical="center"/>
    </xf>
    <xf numFmtId="0" fontId="269" fillId="7" borderId="1" xfId="0" applyFont="1" applyFill="1" applyBorder="1" applyAlignment="1">
      <alignment horizontal="center" vertical="center"/>
    </xf>
    <xf numFmtId="0" fontId="268" fillId="7" borderId="0" xfId="0" applyFont="1" applyFill="1" applyBorder="1" applyAlignment="1">
      <alignment horizontal="center" vertical="center"/>
    </xf>
    <xf numFmtId="0" fontId="269" fillId="7" borderId="0" xfId="0" applyFont="1" applyFill="1" applyBorder="1" applyAlignment="1">
      <alignment horizontal="center" vertical="center"/>
    </xf>
    <xf numFmtId="0" fontId="255" fillId="5" borderId="1" xfId="0" applyFont="1" applyFill="1" applyBorder="1" applyAlignment="1">
      <alignment vertical="center" wrapText="1"/>
    </xf>
    <xf numFmtId="0" fontId="256" fillId="19" borderId="1" xfId="0" applyFont="1" applyFill="1" applyBorder="1" applyAlignment="1">
      <alignment vertical="center" wrapText="1"/>
    </xf>
    <xf numFmtId="0" fontId="255" fillId="9" borderId="1" xfId="0" applyFont="1" applyFill="1" applyBorder="1" applyAlignment="1">
      <alignment horizontal="left" vertical="center" wrapText="1"/>
    </xf>
    <xf numFmtId="0" fontId="256" fillId="0" borderId="0" xfId="0" applyFont="1" applyFill="1" applyBorder="1" applyAlignment="1">
      <alignment horizontal="left" vertical="center" wrapText="1"/>
    </xf>
    <xf numFmtId="0" fontId="267" fillId="0" borderId="1" xfId="0" applyFont="1" applyFill="1" applyBorder="1" applyAlignment="1">
      <alignment horizontal="left" vertical="center" wrapText="1"/>
    </xf>
    <xf numFmtId="0" fontId="267" fillId="0" borderId="0" xfId="0" applyFont="1" applyFill="1" applyBorder="1" applyAlignment="1">
      <alignment horizontal="left" vertical="center" wrapText="1"/>
    </xf>
    <xf numFmtId="0" fontId="256" fillId="19" borderId="1" xfId="0" applyFont="1" applyFill="1" applyBorder="1" applyAlignment="1">
      <alignment horizontal="left" vertical="center" wrapText="1"/>
    </xf>
    <xf numFmtId="0" fontId="255" fillId="19" borderId="1" xfId="0" applyFont="1" applyFill="1" applyBorder="1" applyAlignment="1">
      <alignment horizontal="left" vertical="center" wrapText="1"/>
    </xf>
    <xf numFmtId="0" fontId="263" fillId="0" borderId="169" xfId="0" applyFont="1" applyBorder="1" applyAlignment="1">
      <alignment vertical="center" wrapText="1"/>
    </xf>
    <xf numFmtId="0" fontId="263" fillId="0" borderId="159" xfId="0" applyFont="1" applyBorder="1" applyAlignment="1">
      <alignment vertical="center" wrapText="1"/>
    </xf>
    <xf numFmtId="0" fontId="263" fillId="0" borderId="170" xfId="0" applyFont="1" applyBorder="1" applyAlignment="1">
      <alignment vertical="center" wrapText="1"/>
    </xf>
    <xf numFmtId="0" fontId="263" fillId="0" borderId="171"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13" fillId="0" borderId="1" xfId="0" applyFont="1" applyBorder="1" applyAlignment="1">
      <alignment horizontal="center" vertical="center"/>
    </xf>
    <xf numFmtId="0" fontId="113" fillId="0" borderId="13" xfId="0" applyFont="1" applyBorder="1" applyAlignment="1">
      <alignment horizontal="center" vertical="center"/>
    </xf>
    <xf numFmtId="0" fontId="113" fillId="0" borderId="15" xfId="0" applyFont="1" applyBorder="1" applyAlignment="1">
      <alignment horizontal="center" vertical="center"/>
    </xf>
    <xf numFmtId="0" fontId="113" fillId="0" borderId="2" xfId="0" applyFont="1" applyBorder="1" applyAlignment="1">
      <alignment horizontal="center" vertical="center"/>
    </xf>
    <xf numFmtId="0" fontId="261" fillId="0" borderId="27" xfId="0" applyFont="1" applyBorder="1" applyAlignment="1">
      <alignment vertical="center" wrapText="1"/>
    </xf>
    <xf numFmtId="0" fontId="261" fillId="0" borderId="81" xfId="0" applyFont="1" applyBorder="1" applyAlignment="1">
      <alignment vertical="center" wrapText="1"/>
    </xf>
    <xf numFmtId="0" fontId="261" fillId="0" borderId="27" xfId="0" applyFont="1" applyBorder="1">
      <alignment vertical="center"/>
    </xf>
    <xf numFmtId="0" fontId="261" fillId="0" borderId="81" xfId="0" applyFont="1" applyBorder="1">
      <alignment vertical="center"/>
    </xf>
    <xf numFmtId="0" fontId="261" fillId="0" borderId="63" xfId="0" applyFont="1" applyBorder="1">
      <alignment vertical="center"/>
    </xf>
    <xf numFmtId="0" fontId="261" fillId="0" borderId="64" xfId="0" applyFont="1" applyBorder="1">
      <alignment vertical="center"/>
    </xf>
    <xf numFmtId="0" fontId="261" fillId="0" borderId="65" xfId="0" applyFont="1" applyBorder="1">
      <alignment vertical="center"/>
    </xf>
    <xf numFmtId="0" fontId="113" fillId="9" borderId="0" xfId="0" applyFont="1" applyFill="1" applyAlignment="1">
      <alignment horizontal="center" vertical="center" wrapText="1"/>
    </xf>
    <xf numFmtId="0" fontId="258" fillId="0" borderId="27" xfId="0" applyFont="1" applyBorder="1">
      <alignment vertical="center"/>
    </xf>
    <xf numFmtId="0" fontId="258" fillId="0" borderId="80" xfId="0" applyFont="1" applyBorder="1">
      <alignment vertical="center"/>
    </xf>
    <xf numFmtId="0" fontId="258" fillId="0" borderId="81" xfId="0" applyFont="1" applyBorder="1">
      <alignment vertical="center"/>
    </xf>
    <xf numFmtId="0" fontId="259" fillId="0" borderId="27" xfId="0" applyFont="1" applyBorder="1">
      <alignment vertical="center"/>
    </xf>
    <xf numFmtId="0" fontId="259" fillId="0" borderId="81" xfId="0" applyFont="1" applyBorder="1">
      <alignment vertical="center"/>
    </xf>
    <xf numFmtId="0" fontId="260" fillId="0" borderId="63" xfId="0" applyFont="1" applyBorder="1">
      <alignment vertical="center"/>
    </xf>
    <xf numFmtId="0" fontId="260" fillId="0" borderId="64" xfId="0" applyFont="1" applyBorder="1">
      <alignment vertical="center"/>
    </xf>
    <xf numFmtId="0" fontId="260" fillId="0" borderId="65" xfId="0" applyFont="1" applyBorder="1">
      <alignment vertical="center"/>
    </xf>
    <xf numFmtId="0" fontId="260" fillId="0" borderId="27" xfId="0" applyFont="1" applyBorder="1" applyAlignment="1">
      <alignment horizontal="center" vertical="center" wrapText="1"/>
    </xf>
    <xf numFmtId="0" fontId="260" fillId="0" borderId="81" xfId="0" applyFont="1" applyBorder="1" applyAlignment="1">
      <alignment horizontal="center" vertical="center" wrapText="1"/>
    </xf>
    <xf numFmtId="0" fontId="261" fillId="0" borderId="80" xfId="0" applyFont="1" applyBorder="1">
      <alignment vertical="center"/>
    </xf>
    <xf numFmtId="0" fontId="261" fillId="0" borderId="156" xfId="0" applyFont="1" applyBorder="1">
      <alignment vertical="center"/>
    </xf>
    <xf numFmtId="0" fontId="262" fillId="0" borderId="27" xfId="0" applyFont="1" applyBorder="1" applyAlignment="1">
      <alignment vertical="center" wrapText="1"/>
    </xf>
    <xf numFmtId="0" fontId="262" fillId="0" borderId="80" xfId="0" applyFont="1" applyBorder="1" applyAlignment="1">
      <alignment vertical="center" wrapText="1"/>
    </xf>
    <xf numFmtId="0" fontId="262" fillId="0" borderId="81" xfId="0" applyFont="1" applyBorder="1" applyAlignment="1">
      <alignment vertical="center" wrapText="1"/>
    </xf>
    <xf numFmtId="0" fontId="262" fillId="0" borderId="42" xfId="0" applyFont="1" applyBorder="1">
      <alignment vertical="center"/>
    </xf>
    <xf numFmtId="0" fontId="262" fillId="0" borderId="43" xfId="0" applyFont="1" applyBorder="1">
      <alignment vertical="center"/>
    </xf>
    <xf numFmtId="0" fontId="258" fillId="0" borderId="63" xfId="0" applyFont="1" applyBorder="1">
      <alignment vertical="center"/>
    </xf>
    <xf numFmtId="0" fontId="258" fillId="0" borderId="65" xfId="0" applyFont="1" applyBorder="1">
      <alignment vertical="center"/>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xf numFmtId="0" fontId="264" fillId="0" borderId="162" xfId="0" applyFont="1" applyBorder="1" applyAlignment="1">
      <alignment vertical="center" wrapText="1"/>
    </xf>
    <xf numFmtId="0" fontId="264" fillId="0" borderId="159" xfId="0" applyFont="1" applyBorder="1" applyAlignment="1">
      <alignment vertical="center" wrapText="1"/>
    </xf>
    <xf numFmtId="0" fontId="263" fillId="0" borderId="163" xfId="0" applyFont="1" applyBorder="1" applyAlignment="1">
      <alignment vertical="center" wrapText="1"/>
    </xf>
    <xf numFmtId="0" fontId="263" fillId="0" borderId="164" xfId="0" applyFont="1" applyBorder="1" applyAlignment="1">
      <alignment vertical="center" wrapText="1"/>
    </xf>
    <xf numFmtId="0" fontId="264" fillId="0" borderId="163" xfId="0" applyFont="1" applyBorder="1" applyAlignment="1">
      <alignment vertical="center" wrapText="1"/>
    </xf>
    <xf numFmtId="0" fontId="264" fillId="0" borderId="165" xfId="0" applyFont="1" applyBorder="1" applyAlignment="1">
      <alignment vertical="center" wrapText="1"/>
    </xf>
    <xf numFmtId="0" fontId="264" fillId="0" borderId="164" xfId="0" applyFont="1" applyBorder="1" applyAlignment="1">
      <alignment vertical="center" wrapText="1"/>
    </xf>
    <xf numFmtId="182" fontId="264" fillId="0" borderId="163" xfId="0" applyNumberFormat="1" applyFont="1" applyBorder="1" applyAlignment="1">
      <alignment vertical="center" wrapText="1"/>
    </xf>
    <xf numFmtId="182" fontId="264" fillId="0" borderId="164" xfId="0" applyNumberFormat="1" applyFont="1" applyBorder="1" applyAlignment="1">
      <alignment vertical="center" wrapText="1"/>
    </xf>
    <xf numFmtId="0" fontId="264" fillId="0" borderId="157" xfId="0" applyFont="1" applyBorder="1" applyAlignment="1">
      <alignment vertical="center" wrapText="1"/>
    </xf>
    <xf numFmtId="0" fontId="264" fillId="0" borderId="158" xfId="0" applyFont="1" applyBorder="1" applyAlignment="1">
      <alignment vertical="center" wrapText="1"/>
    </xf>
    <xf numFmtId="0" fontId="264" fillId="0" borderId="166" xfId="0" applyFont="1" applyBorder="1" applyAlignment="1">
      <alignment vertical="center" wrapText="1"/>
    </xf>
    <xf numFmtId="0" fontId="264" fillId="0" borderId="167" xfId="0" applyFont="1" applyBorder="1" applyAlignment="1">
      <alignment vertical="center" wrapText="1"/>
    </xf>
    <xf numFmtId="0" fontId="264" fillId="0" borderId="168" xfId="0" applyFont="1" applyBorder="1" applyAlignment="1">
      <alignment vertical="center" wrapText="1"/>
    </xf>
    <xf numFmtId="0" fontId="260" fillId="0" borderId="163" xfId="0" applyFont="1" applyBorder="1" applyAlignment="1">
      <alignment vertical="center" wrapText="1"/>
    </xf>
    <xf numFmtId="0" fontId="260" fillId="0" borderId="165" xfId="0" applyFont="1" applyBorder="1" applyAlignment="1">
      <alignment vertical="center" wrapText="1"/>
    </xf>
    <xf numFmtId="0" fontId="260" fillId="0" borderId="164" xfId="0" applyFont="1" applyBorder="1" applyAlignment="1">
      <alignment vertical="center" wrapText="1"/>
    </xf>
    <xf numFmtId="0" fontId="263" fillId="0" borderId="165" xfId="0" applyFont="1" applyBorder="1" applyAlignment="1">
      <alignmen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552450</xdr:colOff>
      <xdr:row>51</xdr:row>
      <xdr:rowOff>361950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29200"/>
          <a:ext cx="7562850" cy="672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321&#21495;&#22320;p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31185;0321&#21495;&#22320;&#22359;&#22303;&#22320;10&#26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面积规证"/>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
      <sheetName val="定义"/>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169816</v>
          </cell>
          <cell r="C14">
            <v>62541.33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面积规证"/>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
      <sheetName val="定义"/>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311695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X37" sqref="X37"/>
    </sheetView>
  </sheetViews>
  <sheetFormatPr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北京市顺义区高丽营镇于庄03-31地块出让国有建设用地使用权及在建建筑物房地产抵押价值预评估</v>
      </c>
    </row>
    <row r="3" spans="1:2" s="1594" customFormat="1">
      <c r="A3" s="1592" t="s">
        <v>1217</v>
      </c>
      <c r="B3" s="1593" t="str">
        <f>'预评函-封皮'!B40</f>
        <v xml:space="preserve">北京万龙华房地产开发有限公司 </v>
      </c>
    </row>
    <row r="4" spans="1:2" s="1594" customFormat="1">
      <c r="A4" s="1592" t="s">
        <v>1218</v>
      </c>
      <c r="B4" s="1593" t="str">
        <f ca="1">'预评函-封皮'!B46</f>
        <v>郑燚（注册号：1120070131)、吴薇（注册号：1419970001)</v>
      </c>
    </row>
    <row r="5" spans="1:2" s="1588" customFormat="1" ht="15" thickBot="1">
      <c r="A5" s="1595" t="s">
        <v>1219</v>
      </c>
      <c r="B5" s="1596" t="str">
        <f>'预评函-封皮'!B49</f>
        <v>康正预评字2018-1-0667号</v>
      </c>
    </row>
    <row r="6" spans="1:2" s="1591" customFormat="1" ht="15" thickTop="1">
      <c r="A6" s="1589" t="s">
        <v>1220</v>
      </c>
      <c r="B6" s="1590" t="str">
        <f>'预评函-1'!A4</f>
        <v>受贵公司委托，我公司对北京市顺义区高丽营镇于庄03-31地块出让国有建设用地使用权及在建建筑物房地产抵押价值进行了预评估。</v>
      </c>
    </row>
    <row r="7" spans="1:2" s="1594" customFormat="1">
      <c r="A7" s="1592" t="s">
        <v>1260</v>
      </c>
      <c r="B7" s="1593" t="str">
        <f>'预评函-1'!A7</f>
        <v>估价对象为北京市顺义区高丽营镇于庄03-31地块出让国有建设用地使用权及在建建筑物房地产，为所有。根据《不动产权证书》[京（2018）顺不动产权第0000011、0000012号]，估价对象（分摊）出让国有建设用地使用权面积为82881.19平方米。根据，估价对象建筑面积为219161.38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82881.19平方米。根据，估价对象规划建筑面积为219161.38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为估价委托人在向建行城建、中行北京分行丰台支行、农行北分崇文门办理贷款手续过程中，确定房地产抵押贷款额度提供参考依据而评估房地产抵押价值。</v>
      </c>
    </row>
    <row r="12" spans="1:2" s="1594" customFormat="1">
      <c r="A12" s="1592" t="s">
        <v>1222</v>
      </c>
      <c r="B12" s="1593" t="str">
        <f>'预评函-1'!A15</f>
        <v>2018年12月10日（评估专业人员实地查勘之日）</v>
      </c>
    </row>
    <row r="13" spans="1:2" s="1594" customFormat="1">
      <c r="A13" s="1592" t="s">
        <v>1223</v>
      </c>
      <c r="B13" s="1593" t="str">
        <f>'预评函-1'!A18</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4" spans="1:2" s="1594" customFormat="1">
      <c r="A14" s="1592" t="s">
        <v>1224</v>
      </c>
      <c r="B14" s="1593" t="str">
        <f>'预评函-1'!A19</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479297</v>
      </c>
    </row>
    <row r="21" spans="1:2" s="1594" customFormat="1">
      <c r="A21" s="1592" t="s">
        <v>1231</v>
      </c>
      <c r="B21" s="1593">
        <f ca="1">'预评函-2'!D7</f>
        <v>21870</v>
      </c>
    </row>
    <row r="22" spans="1:2" s="1594" customFormat="1">
      <c r="A22" s="1592" t="s">
        <v>1232</v>
      </c>
      <c r="B22" s="1593" t="str">
        <f ca="1">'预评函-2'!D6</f>
        <v>肆拾柒亿玖仟贰佰玖拾柒万元整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479297</v>
      </c>
    </row>
    <row r="31" spans="1:2" s="1594" customFormat="1">
      <c r="A31" s="1592" t="s">
        <v>1270</v>
      </c>
      <c r="B31" s="1593">
        <f ca="1">'预评函-2'!D15</f>
        <v>21870</v>
      </c>
    </row>
    <row r="32" spans="1:2" s="1594" customFormat="1">
      <c r="A32" s="1592" t="s">
        <v>1237</v>
      </c>
      <c r="B32" s="1593" t="str">
        <f ca="1">'预评函-2'!D14</f>
        <v>肆拾柒亿玖仟贰佰玖拾柒万元整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北京市顺义区高丽营镇于庄03-31地块出让国有建设用地使用权及在建建筑物房地产</v>
      </c>
    </row>
    <row r="42" spans="1:2" s="1594" customFormat="1">
      <c r="A42" s="1592" t="s">
        <v>1284</v>
      </c>
      <c r="B42" s="1593" t="str">
        <f>'预评函-3'!B2</f>
        <v>建筑面积</v>
      </c>
    </row>
    <row r="43" spans="1:2" s="1594" customFormat="1">
      <c r="A43" s="1592" t="s">
        <v>1285</v>
      </c>
      <c r="B43" s="1593">
        <f>'预评函-3'!B4</f>
        <v>219161.38</v>
      </c>
    </row>
    <row r="44" spans="1:2" s="1594" customFormat="1">
      <c r="A44" s="1592" t="s">
        <v>1269</v>
      </c>
      <c r="B44" s="1593" t="str">
        <f>'预评函-3'!C2</f>
        <v>(分摊)土地面积</v>
      </c>
    </row>
    <row r="45" spans="1:2" s="1594" customFormat="1">
      <c r="A45" s="1592" t="s">
        <v>1241</v>
      </c>
      <c r="B45" s="1593">
        <f>'预评函-3'!C4</f>
        <v>82881.19</v>
      </c>
    </row>
    <row r="46" spans="1:2" s="1594" customFormat="1">
      <c r="A46" s="1592" t="s">
        <v>1267</v>
      </c>
      <c r="B46" s="1593" t="str">
        <f>'预评函-3'!D2</f>
        <v>出让国有建设用地使用权价值</v>
      </c>
    </row>
    <row r="47" spans="1:2" s="1594" customFormat="1">
      <c r="A47" s="1592" t="s">
        <v>1242</v>
      </c>
      <c r="B47" s="1593">
        <f ca="1">'预评函-3'!D4</f>
        <v>462042</v>
      </c>
    </row>
    <row r="48" spans="1:2" s="1594" customFormat="1">
      <c r="A48" s="1592" t="s">
        <v>1243</v>
      </c>
      <c r="B48" s="1593">
        <f ca="1">'预评函-3'!E4</f>
        <v>21083</v>
      </c>
    </row>
    <row r="49" spans="1:2" s="1594" customFormat="1">
      <c r="A49" s="1592" t="s">
        <v>1244</v>
      </c>
      <c r="B49" s="1593" t="str">
        <f ca="1">'预评函-3'!D5</f>
        <v>肆拾陆亿贰仟零肆拾贰万元整</v>
      </c>
    </row>
    <row r="50" spans="1:2" s="1594" customFormat="1">
      <c r="A50" s="1592" t="s">
        <v>1268</v>
      </c>
      <c r="B50" s="1593" t="str">
        <f>'预评函-3'!F2</f>
        <v>在建建筑物价值</v>
      </c>
    </row>
    <row r="51" spans="1:2" s="1594" customFormat="1">
      <c r="A51" s="1592" t="s">
        <v>1245</v>
      </c>
      <c r="B51" s="1593">
        <f ca="1">'预评函-3'!F4</f>
        <v>17255</v>
      </c>
    </row>
    <row r="52" spans="1:2" s="1594" customFormat="1">
      <c r="A52" s="1592" t="s">
        <v>1246</v>
      </c>
      <c r="B52" s="1593">
        <f ca="1">'预评函-3'!G4</f>
        <v>787</v>
      </c>
    </row>
    <row r="53" spans="1:2" s="1594" customFormat="1">
      <c r="A53" s="1592" t="s">
        <v>1274</v>
      </c>
      <c r="B53" s="1593" t="str">
        <f ca="1">'预评函-3'!F5</f>
        <v>壹亿柒仟贰佰伍拾伍万元整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（1）根据估价对象《不动产权证书》原件，截至价值时点，估价对象抵押权未见登记。</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郑燚</v>
      </c>
    </row>
    <row r="71" spans="1:2">
      <c r="A71" s="1592" t="s">
        <v>1257</v>
      </c>
      <c r="B71" s="1593">
        <f ca="1">'预评函-4'!B4</f>
        <v>1120070131</v>
      </c>
    </row>
    <row r="72" spans="1:2">
      <c r="A72" s="1592" t="s">
        <v>1258</v>
      </c>
      <c r="B72" s="1601" t="str">
        <f>'预评函-4'!A5</f>
        <v>吴薇</v>
      </c>
    </row>
    <row r="73" spans="1:2" s="1588" customFormat="1" ht="15" thickBot="1">
      <c r="A73" s="1595" t="s">
        <v>1259</v>
      </c>
      <c r="B73" s="1596">
        <f ca="1">'预评函-4'!B5</f>
        <v>1419970001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6" sqref="AB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3217</v>
      </c>
      <c r="C21" s="2016"/>
    </row>
    <row r="22" spans="1:3">
      <c r="A22" s="2015" t="s">
        <v>1767</v>
      </c>
      <c r="B22" s="2015" t="s">
        <v>3219</v>
      </c>
      <c r="C22" s="2016"/>
    </row>
    <row r="23" spans="1:3">
      <c r="A23" s="2015" t="s">
        <v>1768</v>
      </c>
      <c r="B23" s="2015" t="s">
        <v>3221</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3180</v>
      </c>
      <c r="B28" s="2015" t="s">
        <v>757</v>
      </c>
      <c r="C28" s="2016"/>
    </row>
    <row r="29" spans="1:3">
      <c r="A29" s="2015" t="s">
        <v>3182</v>
      </c>
      <c r="B29" s="2015" t="s">
        <v>757</v>
      </c>
      <c r="C29" s="2016"/>
    </row>
    <row r="30" spans="1:3">
      <c r="A30" s="2015"/>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为估价委托人在向建行城建、中行北京分行丰台支行、农行北分崇文门办理贷款手续过程中，确定房地产抵押贷款额度提供参考依据而评估房地产抵押价值。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北京万龙华房地产开发有限公司 拟使用北京市顺义区高丽营镇于庄03-31地块出让国有建设用地使用权及在建建筑物房地产作为抵押担保物，向建行城建、中行北京分行丰台支行、农行北分崇文门办理贷款手续。建行城建、中行北京分行丰台支行、农行北分崇文门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12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XX年(多用途剩余年限尾数不同时，可只体现小数点后一位)，假定未设立法定优先受偿款下的房地产市场价值。</v>
      </c>
    </row>
    <row r="54" spans="1:4">
      <c r="A54" s="3127"/>
      <c r="B54" s="2023" t="s">
        <v>861</v>
      </c>
      <c r="C54" s="2020" t="s">
        <v>1277</v>
      </c>
    </row>
    <row r="55" spans="1:4">
      <c r="A55" s="3127"/>
      <c r="B55" s="2023" t="s">
        <v>862</v>
      </c>
      <c r="C55" s="2020" t="s">
        <v>1278</v>
      </c>
    </row>
    <row r="56" spans="1:4">
      <c r="A56" s="3127"/>
      <c r="B56" s="2023" t="s">
        <v>863</v>
      </c>
      <c r="C56" s="2020" t="s">
        <v>1282</v>
      </c>
    </row>
    <row r="57" spans="1:4">
      <c r="A57" s="312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1.125" style="2033" customWidth="1"/>
    <col min="3" max="3" width="11.5" style="2033" customWidth="1"/>
    <col min="4" max="4" width="12"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1772</v>
      </c>
      <c r="B1" s="3136" t="str">
        <f>IF(B10="北京市","北京市",C10)&amp;F10&amp;IF(结果表!G1="在建","出让国有建设用地使用权及在建建筑物",IF(结果表!G1="土地","出让国有建设用地使用权",))&amp;B9&amp;"预评估"</f>
        <v>北京市顺义区高丽营镇于庄03-31地块出让国有建设用地使用权及在建建筑物房地产抵押价值预评估</v>
      </c>
      <c r="C1" s="3137"/>
      <c r="D1" s="3137"/>
      <c r="E1" s="3137"/>
      <c r="F1" s="3137"/>
      <c r="G1" s="3137"/>
      <c r="H1" s="3137"/>
      <c r="I1" s="313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北京市顺义区高丽营镇于庄03-31地块出让国有建设用地使用权及在建建筑物房地产抵押价值</v>
      </c>
    </row>
    <row r="2" spans="1:19" ht="18" customHeight="1">
      <c r="A2" s="2027" t="s">
        <v>1773</v>
      </c>
      <c r="B2" s="1041" t="s">
        <v>3033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北京市顺义区高丽营镇于庄03-31地块出让国有建设用地使用权及在建建筑物房地产</v>
      </c>
    </row>
    <row r="3" spans="1:19" ht="18" customHeight="1">
      <c r="A3" s="2036" t="s">
        <v>1774</v>
      </c>
      <c r="B3" s="2037">
        <v>43444</v>
      </c>
      <c r="C3" s="2038" t="s">
        <v>1775</v>
      </c>
      <c r="D3" s="2037">
        <f>B3</f>
        <v>43444</v>
      </c>
      <c r="E3" s="2027"/>
      <c r="F3" s="2027"/>
      <c r="G3" s="2027"/>
      <c r="H3" s="2027"/>
      <c r="I3" s="2027"/>
      <c r="J3" s="2027"/>
      <c r="K3" s="2028"/>
      <c r="L3" s="2029"/>
      <c r="M3" s="2029"/>
      <c r="N3" s="2030"/>
      <c r="O3" s="2031"/>
      <c r="P3" s="2030"/>
      <c r="Q3" s="2030"/>
      <c r="R3" s="2030"/>
      <c r="S3" s="2032"/>
    </row>
    <row r="4" spans="1:19" ht="18" customHeight="1" thickBot="1">
      <c r="A4" s="2039" t="s">
        <v>1776</v>
      </c>
      <c r="B4" s="2040" t="s">
        <v>3034</v>
      </c>
      <c r="C4" s="1039">
        <f ca="1">SUMIF(注册房地产估价师,B4,估价师及机构信息!B3:B24)</f>
        <v>1120070131</v>
      </c>
      <c r="D4" s="2040" t="s">
        <v>3035</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郑燚（注册号：1120070131)、吴薇（注册号：1419970001)</v>
      </c>
      <c r="L4" s="2029"/>
      <c r="M4" s="2029"/>
      <c r="N4" s="2030"/>
      <c r="O4" s="2031"/>
      <c r="P4" s="2030"/>
      <c r="Q4" s="2030"/>
      <c r="R4" s="2030"/>
      <c r="S4" s="2032"/>
    </row>
    <row r="5" spans="1:19" ht="18" customHeight="1" thickTop="1">
      <c r="A5" s="2045" t="s">
        <v>1777</v>
      </c>
      <c r="B5" s="2046" t="s">
        <v>3036</v>
      </c>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950" t="s">
        <v>3037</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1779</v>
      </c>
      <c r="B7" s="2053" t="s">
        <v>3038</v>
      </c>
      <c r="C7" s="2050"/>
      <c r="D7" s="2051"/>
      <c r="E7" s="2035"/>
      <c r="F7" s="2043"/>
      <c r="G7" s="2043"/>
      <c r="H7" s="2043"/>
      <c r="I7" s="2043"/>
      <c r="J7" s="2043"/>
      <c r="K7" s="2054"/>
      <c r="L7" s="2029"/>
      <c r="M7" s="2029"/>
      <c r="N7" s="2030"/>
      <c r="O7" s="2031"/>
      <c r="P7" s="2030"/>
      <c r="Q7" s="2030"/>
      <c r="R7" s="2030"/>
    </row>
    <row r="8" spans="1:19" ht="18" customHeight="1">
      <c r="A8" s="2049" t="s">
        <v>1780</v>
      </c>
      <c r="B8" s="2055" t="s">
        <v>3039</v>
      </c>
      <c r="C8" s="2056"/>
      <c r="D8" s="3139" t="s">
        <v>1781</v>
      </c>
      <c r="E8" s="2057" t="s">
        <v>3040</v>
      </c>
      <c r="F8" s="2058"/>
      <c r="G8" s="2027"/>
      <c r="H8" s="2027"/>
      <c r="I8" s="2027"/>
      <c r="J8" s="2043"/>
      <c r="K8" s="2044"/>
      <c r="L8" s="2029"/>
      <c r="M8" s="2029"/>
      <c r="N8" s="2030"/>
      <c r="O8" s="2031"/>
      <c r="P8" s="2030"/>
      <c r="Q8" s="2030"/>
      <c r="R8" s="2030"/>
    </row>
    <row r="9" spans="1:19" ht="18" customHeight="1" thickBot="1">
      <c r="A9" s="2041" t="s">
        <v>1782</v>
      </c>
      <c r="B9" s="2059" t="s">
        <v>3040</v>
      </c>
      <c r="C9" s="2060"/>
      <c r="D9" s="3140"/>
      <c r="E9" s="2059" t="s">
        <v>70</v>
      </c>
      <c r="F9" s="2061"/>
      <c r="G9" s="2062"/>
      <c r="H9" s="2062"/>
      <c r="I9" s="2062"/>
      <c r="J9" s="2043"/>
      <c r="K9" s="2054"/>
      <c r="L9" s="2029"/>
      <c r="M9" s="2029"/>
      <c r="N9" s="2030"/>
      <c r="O9" s="2031"/>
      <c r="P9" s="2030"/>
      <c r="Q9" s="2030"/>
      <c r="R9" s="2030"/>
    </row>
    <row r="10" spans="1:19" ht="18" customHeight="1" thickTop="1">
      <c r="A10" s="2063" t="s">
        <v>1783</v>
      </c>
      <c r="B10" s="2064" t="s">
        <v>3041</v>
      </c>
      <c r="C10" s="2065"/>
      <c r="D10" s="2048"/>
      <c r="E10" s="2066" t="s">
        <v>1784</v>
      </c>
      <c r="F10" s="2951" t="s">
        <v>3042</v>
      </c>
      <c r="G10" s="2067"/>
      <c r="H10" s="2068"/>
      <c r="I10" s="2048"/>
      <c r="J10" s="2043"/>
      <c r="K10" s="2054"/>
      <c r="L10" s="2029"/>
      <c r="M10" s="2029"/>
      <c r="N10" s="2030"/>
      <c r="O10" s="2031"/>
      <c r="P10" s="2030"/>
      <c r="Q10" s="2030"/>
      <c r="R10" s="2030"/>
    </row>
    <row r="11" spans="1:19" ht="18" customHeight="1">
      <c r="A11" s="2069" t="s">
        <v>1785</v>
      </c>
      <c r="B11" s="2070" t="s">
        <v>3043</v>
      </c>
      <c r="C11" s="2071"/>
      <c r="D11" s="2072"/>
      <c r="E11" s="2043"/>
      <c r="F11" s="2043"/>
      <c r="G11" s="2043"/>
      <c r="H11" s="2043"/>
      <c r="I11" s="2043"/>
      <c r="J11" s="2043"/>
      <c r="K11" s="2054"/>
      <c r="L11" s="2029"/>
      <c r="M11" s="2029"/>
      <c r="N11" s="2030"/>
      <c r="O11" s="2031"/>
      <c r="P11" s="2030"/>
      <c r="Q11" s="2030"/>
      <c r="R11" s="2030"/>
    </row>
    <row r="12" spans="1:19" ht="18" customHeight="1">
      <c r="A12" s="2073" t="s">
        <v>1786</v>
      </c>
      <c r="B12" s="2070" t="s">
        <v>3044</v>
      </c>
      <c r="C12" s="2074" t="s">
        <v>1787</v>
      </c>
      <c r="D12" s="2075" t="s">
        <v>1788</v>
      </c>
      <c r="E12" s="2075" t="s">
        <v>1789</v>
      </c>
      <c r="F12" s="2075" t="s">
        <v>1790</v>
      </c>
      <c r="G12" s="2075" t="s">
        <v>1791</v>
      </c>
      <c r="H12" s="2075" t="s">
        <v>1792</v>
      </c>
      <c r="I12" s="2075" t="s">
        <v>1793</v>
      </c>
      <c r="J12" s="2043"/>
      <c r="K12" s="2054"/>
      <c r="L12" s="2029"/>
      <c r="M12" s="2029"/>
      <c r="N12" s="2030"/>
      <c r="O12" s="2031"/>
      <c r="P12" s="2030"/>
      <c r="Q12" s="2030"/>
      <c r="R12" s="2030"/>
    </row>
    <row r="13" spans="1:19" ht="18" customHeight="1">
      <c r="A13" s="2076"/>
      <c r="B13" s="2077"/>
      <c r="C13" s="2078" t="s">
        <v>1794</v>
      </c>
      <c r="D13" s="2079">
        <v>68510</v>
      </c>
      <c r="E13" s="2079">
        <v>57553</v>
      </c>
      <c r="F13" s="2079"/>
      <c r="G13" s="2079">
        <v>61205</v>
      </c>
      <c r="H13" s="2079">
        <f>G13</f>
        <v>61205</v>
      </c>
      <c r="I13" s="1049"/>
      <c r="J13" s="2043"/>
      <c r="K13" s="2054"/>
      <c r="L13" s="2029"/>
      <c r="M13" s="2029"/>
      <c r="N13" s="2030"/>
      <c r="O13" s="2031"/>
      <c r="P13" s="2030"/>
      <c r="Q13" s="2030"/>
      <c r="R13" s="2030"/>
    </row>
    <row r="14" spans="1:19" ht="18" customHeight="1">
      <c r="A14" s="2076"/>
      <c r="B14" s="2077"/>
      <c r="C14" s="2078" t="s">
        <v>1795</v>
      </c>
      <c r="D14" s="1052">
        <v>70</v>
      </c>
      <c r="E14" s="1052">
        <v>40</v>
      </c>
      <c r="F14" s="1052"/>
      <c r="G14" s="1052">
        <v>50</v>
      </c>
      <c r="H14" s="1052">
        <v>50</v>
      </c>
      <c r="I14" s="1052"/>
      <c r="J14" s="2043"/>
      <c r="K14" s="2080"/>
      <c r="L14" s="2029"/>
      <c r="M14" s="2029"/>
      <c r="N14" s="2030"/>
      <c r="O14" s="2031"/>
      <c r="P14" s="2030"/>
      <c r="Q14" s="2030"/>
      <c r="R14" s="2030"/>
    </row>
    <row r="15" spans="1:19" ht="18" customHeight="1">
      <c r="A15" s="2063"/>
      <c r="B15" s="2081"/>
      <c r="C15" s="2078" t="s">
        <v>1796</v>
      </c>
      <c r="D15" s="1051">
        <f>IF(B12="出让",IF(D13="","",ROUNDDOWN(MIN((D13-$D$3)/365,D14),2)),D14)</f>
        <v>68.67</v>
      </c>
      <c r="E15" s="1051">
        <f>IF(B12="出让",IF(E13="","",ROUNDDOWN(MIN((E13-$D$3)/365,E14),2)),E14)</f>
        <v>38.65</v>
      </c>
      <c r="F15" s="1051" t="str">
        <f>IF(B12="出让",IF(F13="","",ROUNDDOWN(MIN((F13-$D$3)/365,F14),2)),F14)</f>
        <v/>
      </c>
      <c r="G15" s="1051">
        <f>IF(B12="出让",IF(G13="","",ROUNDDOWN(MIN((G13-$D$3)/365,G14),2)),G14)</f>
        <v>48.66</v>
      </c>
      <c r="H15" s="1051">
        <f>IF(B12="出让",IF(H13="","",ROUNDDOWN(MIN((H13-$D$3)/365,H14),2)),H14)</f>
        <v>48.66</v>
      </c>
      <c r="I15" s="1051" t="str">
        <f>IF(B12="出让",IF(I13="","",ROUNDDOWN(MIN((I13-$D$3)/365,I14),2)),I14)</f>
        <v/>
      </c>
      <c r="J15" s="2043"/>
      <c r="K15" s="2082"/>
      <c r="L15" s="2083"/>
      <c r="M15" s="2083"/>
      <c r="N15" s="2084"/>
      <c r="O15" s="2083"/>
      <c r="P15" s="2084"/>
      <c r="Q15" s="2030"/>
      <c r="R15" s="2030"/>
    </row>
    <row r="16" spans="1:19" ht="30.75" customHeight="1">
      <c r="A16" s="2066" t="s">
        <v>1797</v>
      </c>
      <c r="B16" s="3146" t="s">
        <v>3045</v>
      </c>
      <c r="C16" s="3147"/>
      <c r="D16" s="3148"/>
      <c r="E16" s="2085" t="s">
        <v>1798</v>
      </c>
      <c r="F16" s="3149" t="s">
        <v>3046</v>
      </c>
      <c r="G16" s="3150"/>
      <c r="H16" s="3150"/>
      <c r="I16" s="3151"/>
      <c r="J16" s="2030"/>
      <c r="K16" s="2082"/>
      <c r="L16" s="2083"/>
      <c r="M16" s="2083"/>
      <c r="N16" s="2084"/>
      <c r="O16" s="2083"/>
      <c r="P16" s="2084"/>
      <c r="Q16" s="2030"/>
      <c r="R16" s="2030"/>
    </row>
    <row r="17" spans="1:22" ht="18" customHeight="1">
      <c r="A17" s="2086" t="s">
        <v>1799</v>
      </c>
      <c r="B17" s="2036" t="s">
        <v>1800</v>
      </c>
      <c r="C17" s="1056">
        <f>'数据-汇总表'!E3</f>
        <v>219161.38</v>
      </c>
      <c r="D17" s="2087" t="s">
        <v>1801</v>
      </c>
      <c r="E17" s="3152"/>
      <c r="F17" s="3153"/>
      <c r="G17" s="3153"/>
      <c r="H17" s="3153"/>
      <c r="I17" s="3154"/>
      <c r="J17" s="2030"/>
      <c r="K17" s="2088"/>
      <c r="L17" s="2083"/>
      <c r="M17" s="2083"/>
      <c r="N17" s="2084"/>
      <c r="O17" s="2083"/>
      <c r="P17" s="2084"/>
      <c r="Q17" s="2030"/>
      <c r="R17" s="2030"/>
      <c r="S17" s="2030"/>
      <c r="T17" s="2030"/>
      <c r="U17" s="2030"/>
      <c r="V17" s="2030"/>
    </row>
    <row r="18" spans="1:22" ht="36" customHeight="1" thickBot="1">
      <c r="A18" s="2089" t="s">
        <v>70</v>
      </c>
      <c r="B18" s="2039" t="s">
        <v>1802</v>
      </c>
      <c r="C18" s="1446">
        <f>'数据-汇总表'!D3</f>
        <v>82881.19</v>
      </c>
      <c r="D18" s="2090" t="s">
        <v>1801</v>
      </c>
      <c r="E18" s="3155" t="s">
        <v>3047</v>
      </c>
      <c r="F18" s="3156"/>
      <c r="G18" s="3156"/>
      <c r="H18" s="3156"/>
      <c r="I18" s="3157"/>
      <c r="J18" s="2030"/>
      <c r="K18" s="2088"/>
      <c r="L18" s="2083"/>
      <c r="M18" s="2083"/>
      <c r="N18" s="2084"/>
      <c r="O18" s="2083"/>
      <c r="P18" s="2084"/>
      <c r="Q18" s="2030"/>
      <c r="R18" s="2030"/>
      <c r="S18" s="2030"/>
      <c r="T18" s="2030"/>
      <c r="U18" s="2030"/>
      <c r="V18" s="2030"/>
    </row>
    <row r="19" spans="1:22" ht="37.5" customHeight="1" thickTop="1" thickBot="1">
      <c r="A19" s="372" t="s">
        <v>1803</v>
      </c>
      <c r="B19" s="351" t="s">
        <v>1804</v>
      </c>
      <c r="C19" s="2091" t="s">
        <v>3048</v>
      </c>
      <c r="D19" s="2092" t="s">
        <v>1805</v>
      </c>
      <c r="E19" s="2093" t="s">
        <v>70</v>
      </c>
      <c r="F19" s="2094" t="str">
        <f>IF(AND(C19="是",E19="否"),"是否提供他项权证或相关说明","")</f>
        <v/>
      </c>
      <c r="G19" s="2095" t="s">
        <v>70</v>
      </c>
      <c r="H19" s="2043"/>
      <c r="I19" s="2043"/>
      <c r="J19" s="2043"/>
      <c r="K19" s="2054"/>
      <c r="L19" s="2029"/>
      <c r="M19" s="2029"/>
      <c r="N19" s="2084"/>
      <c r="O19" s="2083"/>
      <c r="P19" s="2084"/>
      <c r="Q19" s="2030"/>
      <c r="R19" s="2030"/>
      <c r="S19" s="2030"/>
      <c r="T19" s="2030"/>
      <c r="U19" s="2030"/>
      <c r="V19" s="2030"/>
    </row>
    <row r="20" spans="1:22" ht="18" customHeight="1">
      <c r="A20" s="2096" t="s">
        <v>1806</v>
      </c>
      <c r="B20" s="3142" t="s">
        <v>1807</v>
      </c>
      <c r="C20" s="3143"/>
      <c r="D20" s="3144" t="s">
        <v>1808</v>
      </c>
      <c r="E20" s="3145"/>
      <c r="F20" s="2097" t="s">
        <v>1809</v>
      </c>
      <c r="G20" s="2043"/>
      <c r="H20" s="2043"/>
      <c r="I20" s="2043"/>
      <c r="J20" s="2043"/>
      <c r="K20" s="3141"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9"/>
      <c r="N20" s="2084"/>
      <c r="O20" s="2083"/>
      <c r="P20" s="2084"/>
      <c r="Q20" s="2030"/>
      <c r="R20" s="2030"/>
      <c r="S20" s="2030"/>
      <c r="T20" s="2030"/>
      <c r="U20" s="2030"/>
      <c r="V20" s="2030"/>
    </row>
    <row r="21" spans="1:22" ht="24.75" customHeight="1">
      <c r="A21" s="2096"/>
      <c r="B21" s="2098" t="s">
        <v>3049</v>
      </c>
      <c r="C21" s="2099" t="s">
        <v>3050</v>
      </c>
      <c r="D21" s="2100"/>
      <c r="E21" s="2101" t="s">
        <v>70</v>
      </c>
      <c r="F21" s="2102"/>
      <c r="G21" s="2043"/>
      <c r="H21" s="2043"/>
      <c r="I21" s="2043"/>
      <c r="J21" s="2043"/>
      <c r="K21" s="31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70</v>
      </c>
      <c r="C22" s="2099" t="s">
        <v>70</v>
      </c>
      <c r="D22" s="2027"/>
      <c r="E22" s="2027"/>
      <c r="F22" s="2104"/>
      <c r="G22" s="2043"/>
      <c r="H22" s="2043"/>
      <c r="I22" s="2043"/>
      <c r="J22" s="2043"/>
      <c r="K22" s="31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1811</v>
      </c>
      <c r="B23" s="182" t="s">
        <v>1812</v>
      </c>
      <c r="C23" s="2106"/>
      <c r="D23" s="2107" t="s">
        <v>1812</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1813</v>
      </c>
      <c r="C24" s="2111"/>
      <c r="D24" s="2105" t="s">
        <v>1813</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1814</v>
      </c>
      <c r="C25" s="2111"/>
      <c r="D25" s="2105" t="s">
        <v>1814</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1815</v>
      </c>
      <c r="C26" s="2115"/>
      <c r="D26" s="2116" t="s">
        <v>1816</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129" t="s">
        <v>1817</v>
      </c>
      <c r="B27" s="2063" t="s">
        <v>1818</v>
      </c>
      <c r="C27" s="2119" t="s">
        <v>3051</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129"/>
      <c r="B28" s="2036" t="s">
        <v>1819</v>
      </c>
      <c r="C28" s="2121" t="s">
        <v>3052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129"/>
      <c r="B29" s="2036" t="s">
        <v>1820</v>
      </c>
      <c r="C29" s="2124" t="s">
        <v>3053</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130"/>
      <c r="B30" s="2036" t="s">
        <v>1821</v>
      </c>
      <c r="C30" s="3131" t="s">
        <v>3054</v>
      </c>
      <c r="D30" s="3132"/>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133" t="s">
        <v>1822</v>
      </c>
      <c r="B31" s="2126" t="s">
        <v>3055</v>
      </c>
      <c r="C31" s="2127" t="str">
        <f>IF(B31="现房","成新及维护状况正常否",IF(B31="在建","工程状态是否正常",IF(B31="土地","是否闲置","-")))</f>
        <v>工程状态是否正常</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134"/>
      <c r="B32" s="2126" t="s">
        <v>3055</v>
      </c>
      <c r="C32" s="2127" t="str">
        <f>IF(B32="现房","成新及维护状况是否正常",IF(B32="在建","工程状态是否正常",IF(B32="土地","是否闲置","-")))</f>
        <v>工程状态是否正常</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134"/>
      <c r="B33" s="2130" t="s">
        <v>3055</v>
      </c>
      <c r="C33" s="2069" t="str">
        <f>IF(B33="现房","成新及维护状况是否正常",IF(B33="在建","工程状态是否正常",IF(B33="土地","是否闲置","-")))</f>
        <v>工程状态是否正常</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1823</v>
      </c>
      <c r="B34" s="2133" t="s">
        <v>3056</v>
      </c>
      <c r="C34" s="2133" t="s">
        <v>3057</v>
      </c>
      <c r="D34" s="2133" t="s">
        <v>3058</v>
      </c>
      <c r="E34" s="2133"/>
      <c r="F34" s="2133"/>
      <c r="G34" s="2133"/>
      <c r="H34" s="2133"/>
      <c r="I34" s="2043"/>
      <c r="J34" s="2043"/>
      <c r="K34" s="1796">
        <f>COUNTIF(B34:H34,"——")</f>
        <v>0</v>
      </c>
      <c r="L34" s="2074" t="s">
        <v>1824</v>
      </c>
      <c r="M34" s="2074" t="s">
        <v>1825</v>
      </c>
      <c r="N34" s="2074" t="s">
        <v>1826</v>
      </c>
      <c r="O34" s="2074" t="s">
        <v>1827</v>
      </c>
      <c r="P34" s="2074" t="s">
        <v>1828</v>
      </c>
      <c r="Q34" s="2074" t="s">
        <v>1829</v>
      </c>
      <c r="R34" s="2074" t="s">
        <v>1830</v>
      </c>
      <c r="S34" s="3128" t="s">
        <v>1831</v>
      </c>
      <c r="T34" s="2134" t="str">
        <f>NUMBERSTRING(7-K34,1)&amp;"通"</f>
        <v>七通</v>
      </c>
      <c r="U34" s="2030"/>
      <c r="V34" s="2030"/>
    </row>
    <row r="35" spans="1:22" ht="18" customHeight="1">
      <c r="A35" s="2135"/>
      <c r="B35" s="3135" t="s">
        <v>1832</v>
      </c>
      <c r="C35" s="3135"/>
      <c r="D35" s="3135"/>
      <c r="E35" s="3135"/>
      <c r="F35" s="2136">
        <f>C10</f>
        <v>0</v>
      </c>
      <c r="G35" s="2043"/>
      <c r="H35" s="2043"/>
      <c r="I35" s="2043"/>
      <c r="J35" s="2043"/>
      <c r="K35" s="2074"/>
      <c r="L35" s="2074"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128"/>
      <c r="T35" s="48" t="str">
        <f>IF(T34="一通",L35,IF(T34="二通",M35,IF(T34="三通",N35,IF(T34="四通",O35,IF(T34="五通",P35,IF(T34="六通",Q35,R35))))))</f>
        <v>通路、通电、通上水、、、、</v>
      </c>
      <c r="U35" s="2030"/>
      <c r="V35" s="2030"/>
    </row>
    <row r="36" spans="1:22" ht="18" customHeight="1">
      <c r="A36" s="2137"/>
      <c r="B36" s="2136" t="s">
        <v>1833</v>
      </c>
      <c r="C36" s="2136" t="s">
        <v>1834</v>
      </c>
      <c r="D36" s="2136" t="s">
        <v>1835</v>
      </c>
      <c r="E36" s="2136" t="s">
        <v>1836</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1837</v>
      </c>
      <c r="B37" s="2140" t="s">
        <v>528</v>
      </c>
      <c r="C37" s="2140" t="s">
        <v>528</v>
      </c>
      <c r="D37" s="2140" t="s">
        <v>528</v>
      </c>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1838</v>
      </c>
      <c r="B38" s="2142" t="s">
        <v>3059</v>
      </c>
      <c r="C38" s="2142" t="s">
        <v>3059</v>
      </c>
      <c r="D38" s="2142" t="s">
        <v>3059</v>
      </c>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1839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1840</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1841</v>
      </c>
      <c r="B42" s="1796" t="s">
        <v>1842</v>
      </c>
      <c r="C42" s="1796" t="s">
        <v>1843</v>
      </c>
      <c r="D42" s="1796" t="s">
        <v>1844</v>
      </c>
      <c r="E42" s="1796" t="s">
        <v>1845</v>
      </c>
      <c r="F42" s="1796" t="s">
        <v>1846</v>
      </c>
      <c r="G42" s="1796" t="s">
        <v>1847</v>
      </c>
      <c r="H42" s="1796" t="s">
        <v>1848</v>
      </c>
      <c r="I42" s="1796" t="s">
        <v>1849</v>
      </c>
      <c r="J42" s="2152" t="s">
        <v>1850</v>
      </c>
      <c r="K42" s="2075" t="s">
        <v>1851</v>
      </c>
      <c r="L42" s="2075" t="s">
        <v>1852</v>
      </c>
      <c r="M42" s="2075" t="s">
        <v>1853</v>
      </c>
      <c r="N42" s="1796" t="s">
        <v>1854</v>
      </c>
      <c r="O42" s="1796" t="s">
        <v>1855</v>
      </c>
      <c r="P42" s="1796" t="s">
        <v>1856</v>
      </c>
      <c r="Q42" s="2074" t="s">
        <v>1857</v>
      </c>
      <c r="R42" s="2074" t="s">
        <v>1858</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6" sqref="H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hidden="1" customWidth="1"/>
    <col min="11" max="11" width="11" style="2159" customWidth="1"/>
    <col min="12" max="12" width="9.5" style="2159" hidden="1" customWidth="1"/>
    <col min="13" max="13" width="9.5" style="2159" customWidth="1"/>
    <col min="14" max="14" width="9.5" style="2159" hidden="1" customWidth="1"/>
    <col min="15" max="15" width="9.875" style="2159" customWidth="1"/>
    <col min="16" max="16" width="9.75" style="2159" hidden="1" customWidth="1"/>
    <col min="17" max="17" width="9.375" style="2159" customWidth="1"/>
    <col min="18" max="18" width="9.25" style="2159" hidden="1" customWidth="1"/>
    <col min="19" max="19" width="10.875" style="2159" customWidth="1"/>
    <col min="20" max="20" width="10.75" style="2159" hidden="1" customWidth="1"/>
    <col min="21" max="21" width="10.75" style="2159" customWidth="1"/>
    <col min="22" max="22" width="10.875" style="2159" hidden="1" customWidth="1"/>
    <col min="23" max="23" width="10.75" style="2159" customWidth="1"/>
    <col min="24" max="27" width="10.75" style="2159" hidden="1" customWidth="1"/>
    <col min="28" max="28" width="10.875" style="2159" hidden="1" customWidth="1"/>
    <col min="29" max="29" width="11" style="2159" bestFit="1" customWidth="1"/>
    <col min="30" max="30" width="10" style="2159" bestFit="1" customWidth="1"/>
    <col min="31" max="31" width="9.75" style="2159" hidden="1" customWidth="1"/>
    <col min="32" max="33" width="9.5" style="2159" hidden="1" customWidth="1"/>
    <col min="34" max="34" width="9.5" style="2159" customWidth="1"/>
    <col min="35" max="35" width="9.5" style="2159" hidden="1" customWidth="1"/>
    <col min="36" max="36" width="9.5" style="2159" customWidth="1"/>
    <col min="37" max="37" width="9.5" style="2159" hidden="1" customWidth="1"/>
    <col min="38" max="38" width="9.5" style="2159" customWidth="1"/>
    <col min="39" max="39" width="9.5" style="2159" hidden="1" customWidth="1"/>
    <col min="40" max="40" width="9.5" style="2159" customWidth="1"/>
    <col min="41" max="45" width="9.5" style="2159" hidden="1" customWidth="1"/>
    <col min="46"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1859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1861</v>
      </c>
      <c r="B2" s="11" t="s">
        <v>1862</v>
      </c>
      <c r="C2" s="11" t="s">
        <v>1863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1864</v>
      </c>
      <c r="AZ2" s="1272" t="s">
        <v>1865</v>
      </c>
      <c r="BA2" s="11" t="s">
        <v>1866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规证面积!C112</f>
        <v>91043.21</v>
      </c>
      <c r="B3" s="14">
        <f>IF(C3="否",G5-AT5,G5)</f>
        <v>239545.05000000002</v>
      </c>
      <c r="C3" s="2168" t="s">
        <v>3178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v>82881.19</v>
      </c>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1867</v>
      </c>
      <c r="B5" s="1804"/>
      <c r="C5" s="1804"/>
      <c r="D5" s="1807"/>
      <c r="E5" s="16" t="s">
        <v>1</v>
      </c>
      <c r="F5" s="16">
        <f>SUM(F13:F587)</f>
        <v>0</v>
      </c>
      <c r="G5" s="16">
        <f>SUM(G13:G587)</f>
        <v>239545.05000000002</v>
      </c>
      <c r="H5" s="16">
        <f t="shared" ref="H5:AT5" si="0">SUM(H13:H656)</f>
        <v>222175.97</v>
      </c>
      <c r="I5" s="16">
        <f t="shared" si="0"/>
        <v>46710.839999999989</v>
      </c>
      <c r="J5" s="16">
        <f t="shared" si="0"/>
        <v>0</v>
      </c>
      <c r="K5" s="16">
        <f t="shared" si="0"/>
        <v>10848.240000000013</v>
      </c>
      <c r="L5" s="16">
        <f t="shared" si="0"/>
        <v>0</v>
      </c>
      <c r="M5" s="16">
        <f t="shared" si="0"/>
        <v>31676.1</v>
      </c>
      <c r="N5" s="16">
        <f t="shared" si="0"/>
        <v>0</v>
      </c>
      <c r="O5" s="16">
        <f t="shared" si="0"/>
        <v>250</v>
      </c>
      <c r="P5" s="16">
        <f t="shared" si="0"/>
        <v>0</v>
      </c>
      <c r="Q5" s="16">
        <f t="shared" si="0"/>
        <v>38228.400000000001</v>
      </c>
      <c r="R5" s="16">
        <f t="shared" si="0"/>
        <v>0</v>
      </c>
      <c r="S5" s="16">
        <f t="shared" si="0"/>
        <v>84060.26</v>
      </c>
      <c r="T5" s="16">
        <f t="shared" si="0"/>
        <v>0</v>
      </c>
      <c r="U5" s="16">
        <f t="shared" si="0"/>
        <v>10172.129999999999</v>
      </c>
      <c r="V5" s="16">
        <f t="shared" si="0"/>
        <v>0</v>
      </c>
      <c r="W5" s="16">
        <f t="shared" si="0"/>
        <v>230</v>
      </c>
      <c r="X5" s="16">
        <f t="shared" si="0"/>
        <v>0</v>
      </c>
      <c r="Y5" s="16">
        <f t="shared" si="0"/>
        <v>0</v>
      </c>
      <c r="Z5" s="16">
        <f t="shared" si="0"/>
        <v>0</v>
      </c>
      <c r="AA5" s="16">
        <f t="shared" si="0"/>
        <v>0</v>
      </c>
      <c r="AB5" s="16">
        <f t="shared" si="0"/>
        <v>0</v>
      </c>
      <c r="AC5" s="16">
        <f t="shared" si="0"/>
        <v>6661.939999999996</v>
      </c>
      <c r="AD5" s="16">
        <f t="shared" si="0"/>
        <v>1770</v>
      </c>
      <c r="AE5" s="16">
        <f t="shared" si="0"/>
        <v>0</v>
      </c>
      <c r="AF5" s="16">
        <f t="shared" si="0"/>
        <v>0</v>
      </c>
      <c r="AG5" s="16">
        <f t="shared" si="0"/>
        <v>0</v>
      </c>
      <c r="AH5" s="16">
        <f t="shared" si="0"/>
        <v>100</v>
      </c>
      <c r="AI5" s="16">
        <f t="shared" si="0"/>
        <v>0</v>
      </c>
      <c r="AJ5" s="16">
        <f t="shared" si="0"/>
        <v>50</v>
      </c>
      <c r="AK5" s="16">
        <f t="shared" si="0"/>
        <v>0</v>
      </c>
      <c r="AL5" s="16">
        <f t="shared" si="0"/>
        <v>168</v>
      </c>
      <c r="AM5" s="16">
        <f t="shared" si="0"/>
        <v>0</v>
      </c>
      <c r="AN5" s="16">
        <f t="shared" si="0"/>
        <v>4573.939999999996</v>
      </c>
      <c r="AO5" s="16">
        <f t="shared" si="0"/>
        <v>0</v>
      </c>
      <c r="AP5" s="16">
        <f t="shared" si="0"/>
        <v>0</v>
      </c>
      <c r="AQ5" s="16">
        <f t="shared" si="0"/>
        <v>0</v>
      </c>
      <c r="AR5" s="16">
        <f t="shared" si="0"/>
        <v>0</v>
      </c>
      <c r="AS5" s="16">
        <f t="shared" si="0"/>
        <v>0</v>
      </c>
      <c r="AT5" s="16">
        <f t="shared" si="0"/>
        <v>10707.14</v>
      </c>
      <c r="AU5" s="1803"/>
      <c r="AV5" s="15" t="s">
        <v>1867</v>
      </c>
      <c r="AW5" s="1804"/>
      <c r="AX5" s="1804"/>
      <c r="AY5" s="17" t="s">
        <v>3</v>
      </c>
      <c r="AZ5" s="18">
        <f t="shared" ref="AZ5:BT5" si="1">SUM(AZ13:AZ656)</f>
        <v>219161.38</v>
      </c>
      <c r="BA5" s="18">
        <f t="shared" si="1"/>
        <v>212499.44</v>
      </c>
      <c r="BB5" s="18">
        <f t="shared" si="1"/>
        <v>44026.80999999999</v>
      </c>
      <c r="BC5" s="18">
        <f t="shared" si="1"/>
        <v>10848.240000000013</v>
      </c>
      <c r="BD5" s="18">
        <f t="shared" si="1"/>
        <v>31676.1</v>
      </c>
      <c r="BE5" s="18">
        <f t="shared" si="1"/>
        <v>250</v>
      </c>
      <c r="BF5" s="18">
        <f t="shared" si="1"/>
        <v>36043.919999999998</v>
      </c>
      <c r="BG5" s="18">
        <f t="shared" si="1"/>
        <v>79252.239999999991</v>
      </c>
      <c r="BH5" s="18">
        <f t="shared" si="1"/>
        <v>10172.129999999999</v>
      </c>
      <c r="BI5" s="18">
        <f t="shared" si="1"/>
        <v>230</v>
      </c>
      <c r="BJ5" s="18">
        <f t="shared" si="1"/>
        <v>0</v>
      </c>
      <c r="BK5" s="18">
        <f t="shared" si="1"/>
        <v>0</v>
      </c>
      <c r="BL5" s="18">
        <f t="shared" si="1"/>
        <v>6661.939999999996</v>
      </c>
      <c r="BM5" s="18">
        <f t="shared" si="1"/>
        <v>1770</v>
      </c>
      <c r="BN5" s="18">
        <f t="shared" si="1"/>
        <v>0</v>
      </c>
      <c r="BO5" s="18">
        <f t="shared" si="1"/>
        <v>100</v>
      </c>
      <c r="BP5" s="18">
        <f t="shared" si="1"/>
        <v>50</v>
      </c>
      <c r="BQ5" s="18">
        <f t="shared" si="1"/>
        <v>168</v>
      </c>
      <c r="BR5" s="18">
        <f t="shared" si="1"/>
        <v>4573.939999999996</v>
      </c>
      <c r="BS5" s="18">
        <f t="shared" si="1"/>
        <v>0</v>
      </c>
      <c r="BT5" s="19">
        <f t="shared" si="1"/>
        <v>0</v>
      </c>
    </row>
    <row r="6" spans="1:72" s="2177" customFormat="1" ht="12.75">
      <c r="A6" s="15" t="s">
        <v>1868</v>
      </c>
      <c r="B6" s="2174"/>
      <c r="C6" s="2174"/>
      <c r="D6" s="2175"/>
      <c r="E6" s="16">
        <f>H6+AC6+AT6</f>
        <v>91043.219999999972</v>
      </c>
      <c r="F6" s="16" t="s">
        <v>1</v>
      </c>
      <c r="G6" s="16" t="s">
        <v>2</v>
      </c>
      <c r="H6" s="20">
        <f>SUMIF(I$12:AB$12,"总值",I6:AB6)</f>
        <v>84441.809999999983</v>
      </c>
      <c r="I6" s="16">
        <f t="shared" ref="I6:AB6" si="2">ROUND($A$3*I5/$B$3,2)</f>
        <v>17753.259999999998</v>
      </c>
      <c r="J6" s="16">
        <f t="shared" si="2"/>
        <v>0</v>
      </c>
      <c r="K6" s="16">
        <f t="shared" si="2"/>
        <v>4123.0600000000004</v>
      </c>
      <c r="L6" s="16">
        <f t="shared" si="2"/>
        <v>0</v>
      </c>
      <c r="M6" s="16">
        <f t="shared" si="2"/>
        <v>12039.05</v>
      </c>
      <c r="N6" s="16">
        <f t="shared" si="2"/>
        <v>0</v>
      </c>
      <c r="O6" s="16">
        <f t="shared" si="2"/>
        <v>95.02</v>
      </c>
      <c r="P6" s="16">
        <f t="shared" si="2"/>
        <v>0</v>
      </c>
      <c r="Q6" s="16">
        <f t="shared" si="2"/>
        <v>14529.36</v>
      </c>
      <c r="R6" s="16">
        <f t="shared" si="2"/>
        <v>0</v>
      </c>
      <c r="S6" s="16">
        <f t="shared" si="2"/>
        <v>31948.55</v>
      </c>
      <c r="T6" s="16">
        <f t="shared" si="2"/>
        <v>0</v>
      </c>
      <c r="U6" s="16">
        <f t="shared" si="2"/>
        <v>3866.09</v>
      </c>
      <c r="V6" s="16">
        <f t="shared" si="2"/>
        <v>0</v>
      </c>
      <c r="W6" s="16">
        <f t="shared" si="2"/>
        <v>87.42</v>
      </c>
      <c r="X6" s="16">
        <f t="shared" si="2"/>
        <v>0</v>
      </c>
      <c r="Y6" s="16">
        <f t="shared" si="2"/>
        <v>0</v>
      </c>
      <c r="Z6" s="16">
        <f t="shared" si="2"/>
        <v>0</v>
      </c>
      <c r="AA6" s="16">
        <f t="shared" si="2"/>
        <v>0</v>
      </c>
      <c r="AB6" s="16">
        <f t="shared" si="2"/>
        <v>0</v>
      </c>
      <c r="AC6" s="20">
        <f>SUMIF(AD$12:AS$12,"总值",AD6:AS6)</f>
        <v>2531.98</v>
      </c>
      <c r="AD6" s="16">
        <f t="shared" ref="AD6:AS6" si="3">ROUND($A$3*AD5/$B$3,2)</f>
        <v>672.72</v>
      </c>
      <c r="AE6" s="16">
        <f t="shared" si="3"/>
        <v>0</v>
      </c>
      <c r="AF6" s="16">
        <f t="shared" si="3"/>
        <v>0</v>
      </c>
      <c r="AG6" s="16">
        <f t="shared" si="3"/>
        <v>0</v>
      </c>
      <c r="AH6" s="16">
        <f t="shared" si="3"/>
        <v>38.01</v>
      </c>
      <c r="AI6" s="16">
        <f t="shared" si="3"/>
        <v>0</v>
      </c>
      <c r="AJ6" s="16">
        <f t="shared" si="3"/>
        <v>19</v>
      </c>
      <c r="AK6" s="16">
        <f t="shared" si="3"/>
        <v>0</v>
      </c>
      <c r="AL6" s="16">
        <f t="shared" si="3"/>
        <v>63.85</v>
      </c>
      <c r="AM6" s="16">
        <f t="shared" si="3"/>
        <v>0</v>
      </c>
      <c r="AN6" s="16">
        <f t="shared" si="3"/>
        <v>1738.4</v>
      </c>
      <c r="AO6" s="16">
        <f t="shared" si="3"/>
        <v>0</v>
      </c>
      <c r="AP6" s="16">
        <f t="shared" si="3"/>
        <v>0</v>
      </c>
      <c r="AQ6" s="16">
        <f t="shared" si="3"/>
        <v>0</v>
      </c>
      <c r="AR6" s="16">
        <f t="shared" si="3"/>
        <v>0</v>
      </c>
      <c r="AS6" s="16">
        <f t="shared" si="3"/>
        <v>0</v>
      </c>
      <c r="AT6" s="20">
        <f>IF(C3="是",ROUND($A$3*AT5/$B$3,2),0)</f>
        <v>4069.43</v>
      </c>
      <c r="AU6" s="2176"/>
      <c r="AV6" s="15" t="s">
        <v>1868</v>
      </c>
      <c r="AW6" s="2174"/>
      <c r="AX6" s="2174"/>
      <c r="AY6" s="21">
        <f>IF(AY3&gt;0,AY3,ROUND($A$3*AZ5/$B$3,2))</f>
        <v>82881.19</v>
      </c>
      <c r="AZ6" s="16" t="s">
        <v>3</v>
      </c>
      <c r="BA6" s="16">
        <f>ROUND($AY$6*BA5/$AZ$5,2)</f>
        <v>80361.820000000007</v>
      </c>
      <c r="BB6" s="16">
        <f>ROUND($AY$6*BB5/$AZ$5,2)</f>
        <v>16649.810000000001</v>
      </c>
      <c r="BC6" s="16">
        <f t="shared" ref="BC6:BH6" si="4">ROUND($AY$6*BC5/$AZ$5,2)</f>
        <v>4102.53</v>
      </c>
      <c r="BD6" s="16">
        <f t="shared" si="4"/>
        <v>11979.09</v>
      </c>
      <c r="BE6" s="16">
        <f t="shared" si="4"/>
        <v>94.54</v>
      </c>
      <c r="BF6" s="16">
        <f t="shared" si="4"/>
        <v>13630.88</v>
      </c>
      <c r="BG6" s="16">
        <f t="shared" si="4"/>
        <v>29971.16</v>
      </c>
      <c r="BH6" s="16">
        <f t="shared" si="4"/>
        <v>3846.84</v>
      </c>
      <c r="BI6" s="16">
        <f t="shared" ref="BI6:BT6" si="5">ROUND($AY$6*BI5/$AZ$5,2)</f>
        <v>86.98</v>
      </c>
      <c r="BJ6" s="16">
        <f t="shared" si="5"/>
        <v>0</v>
      </c>
      <c r="BK6" s="16">
        <f t="shared" si="5"/>
        <v>0</v>
      </c>
      <c r="BL6" s="16">
        <f t="shared" si="5"/>
        <v>2519.37</v>
      </c>
      <c r="BM6" s="16">
        <f t="shared" si="5"/>
        <v>669.37</v>
      </c>
      <c r="BN6" s="16">
        <f t="shared" si="5"/>
        <v>0</v>
      </c>
      <c r="BO6" s="16">
        <f t="shared" si="5"/>
        <v>37.82</v>
      </c>
      <c r="BP6" s="16">
        <f t="shared" si="5"/>
        <v>18.91</v>
      </c>
      <c r="BQ6" s="16">
        <f t="shared" si="5"/>
        <v>63.53</v>
      </c>
      <c r="BR6" s="16">
        <f t="shared" si="5"/>
        <v>1729.75</v>
      </c>
      <c r="BS6" s="16">
        <f t="shared" si="5"/>
        <v>0</v>
      </c>
      <c r="BT6" s="22">
        <f t="shared" si="5"/>
        <v>0</v>
      </c>
    </row>
    <row r="7" spans="1:72" s="2167" customFormat="1" ht="24.75">
      <c r="A7" s="2109" t="s">
        <v>1869</v>
      </c>
      <c r="B7" s="2109" t="s">
        <v>1870</v>
      </c>
      <c r="C7" s="2109" t="s">
        <v>1871</v>
      </c>
      <c r="D7" s="2109" t="s">
        <v>1872</v>
      </c>
      <c r="E7" s="2109" t="s">
        <v>1873</v>
      </c>
      <c r="F7" s="2109" t="s">
        <v>1874</v>
      </c>
      <c r="G7" s="2178" t="s">
        <v>1875</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1876</v>
      </c>
      <c r="AV7" s="23" t="s">
        <v>1877</v>
      </c>
      <c r="AW7" s="2166" t="s">
        <v>1878</v>
      </c>
      <c r="AX7" s="23" t="s">
        <v>1871</v>
      </c>
      <c r="AY7" s="1804" t="s">
        <v>1879</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1880</v>
      </c>
      <c r="H8" s="2184" t="s">
        <v>1881</v>
      </c>
      <c r="I8" s="2185"/>
      <c r="J8" s="1819"/>
      <c r="K8" s="1819"/>
      <c r="L8" s="1819"/>
      <c r="M8" s="1819"/>
      <c r="N8" s="1819"/>
      <c r="O8" s="1819"/>
      <c r="P8" s="1819"/>
      <c r="Q8" s="1819"/>
      <c r="R8" s="1819"/>
      <c r="S8" s="1819"/>
      <c r="T8" s="1819"/>
      <c r="U8" s="1819"/>
      <c r="V8" s="2186"/>
      <c r="W8" s="1819"/>
      <c r="X8" s="1819"/>
      <c r="Y8" s="1819"/>
      <c r="Z8" s="1819"/>
      <c r="AA8" s="2186"/>
      <c r="AB8" s="2187"/>
      <c r="AC8" s="983" t="s">
        <v>1882</v>
      </c>
      <c r="AD8" s="2188"/>
      <c r="AE8" s="2180"/>
      <c r="AF8" s="1819"/>
      <c r="AG8" s="1819"/>
      <c r="AH8" s="1819"/>
      <c r="AI8" s="1819"/>
      <c r="AJ8" s="1819"/>
      <c r="AK8" s="1819"/>
      <c r="AL8" s="1819"/>
      <c r="AM8" s="1819"/>
      <c r="AN8" s="1819"/>
      <c r="AO8" s="1819"/>
      <c r="AP8" s="1819"/>
      <c r="AQ8" s="1819"/>
      <c r="AR8" s="1819"/>
      <c r="AS8" s="1819"/>
      <c r="AT8" s="1294" t="s">
        <v>1883</v>
      </c>
      <c r="AU8" s="2182" t="s">
        <v>1884</v>
      </c>
      <c r="AV8" s="1294"/>
      <c r="AW8" s="2165"/>
      <c r="AX8" s="1294"/>
      <c r="AY8" s="2166" t="s">
        <v>1885</v>
      </c>
      <c r="AZ8" s="1818" t="s">
        <v>1886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1887</v>
      </c>
      <c r="I9" s="2191" t="s">
        <v>3074</v>
      </c>
      <c r="J9" s="983"/>
      <c r="K9" s="2191" t="s">
        <v>3074</v>
      </c>
      <c r="L9" s="983"/>
      <c r="M9" s="2191" t="s">
        <v>3074</v>
      </c>
      <c r="N9" s="983"/>
      <c r="O9" s="2191" t="s">
        <v>3074</v>
      </c>
      <c r="P9" s="983"/>
      <c r="Q9" s="2191" t="s">
        <v>3075</v>
      </c>
      <c r="R9" s="983"/>
      <c r="S9" s="2191" t="s">
        <v>3075</v>
      </c>
      <c r="T9" s="983"/>
      <c r="U9" s="2191" t="s">
        <v>3075</v>
      </c>
      <c r="V9" s="983"/>
      <c r="W9" s="2191" t="s">
        <v>3075</v>
      </c>
      <c r="X9" s="2192"/>
      <c r="Y9" s="2191"/>
      <c r="Z9" s="983"/>
      <c r="AA9" s="2191"/>
      <c r="AB9" s="983"/>
      <c r="AC9" s="2183" t="s">
        <v>1887</v>
      </c>
      <c r="AD9" s="15" t="s">
        <v>1888</v>
      </c>
      <c r="AE9" s="1300"/>
      <c r="AF9" s="15" t="s">
        <v>1889</v>
      </c>
      <c r="AG9" s="1300"/>
      <c r="AH9" s="15" t="s">
        <v>1888</v>
      </c>
      <c r="AI9" s="1300"/>
      <c r="AJ9" s="15" t="s">
        <v>1889</v>
      </c>
      <c r="AK9" s="1300"/>
      <c r="AL9" s="15" t="s">
        <v>1888</v>
      </c>
      <c r="AM9" s="1300"/>
      <c r="AN9" s="15" t="s">
        <v>1889</v>
      </c>
      <c r="AO9" s="1300"/>
      <c r="AP9" s="15" t="s">
        <v>1888</v>
      </c>
      <c r="AQ9" s="1300"/>
      <c r="AR9" s="15" t="s">
        <v>1889</v>
      </c>
      <c r="AS9" s="2193"/>
      <c r="AT9" s="2182"/>
      <c r="AU9" s="2182" t="s">
        <v>1890</v>
      </c>
      <c r="AV9" s="1294"/>
      <c r="AW9" s="2165"/>
      <c r="AX9" s="1294"/>
      <c r="AY9" s="28"/>
      <c r="AZ9" s="28" t="s">
        <v>1880</v>
      </c>
      <c r="BA9" s="2194" t="s">
        <v>1891</v>
      </c>
      <c r="BB9" s="2195"/>
      <c r="BC9" s="1340"/>
      <c r="BD9" s="1340"/>
      <c r="BE9" s="1340"/>
      <c r="BF9" s="1340"/>
      <c r="BG9" s="1340"/>
      <c r="BH9" s="1340"/>
      <c r="BI9" s="1340"/>
      <c r="BJ9" s="1340"/>
      <c r="BK9" s="2196"/>
      <c r="BL9" s="15" t="s">
        <v>1892</v>
      </c>
      <c r="BM9" s="1819"/>
      <c r="BN9" s="2185"/>
      <c r="BO9" s="1819"/>
      <c r="BP9" s="1819"/>
      <c r="BQ9" s="1819"/>
      <c r="BR9" s="1819"/>
      <c r="BS9" s="1819"/>
      <c r="BT9" s="26"/>
    </row>
    <row r="10" spans="1:72" s="2189" customFormat="1" ht="12.75">
      <c r="A10" s="2182"/>
      <c r="B10" s="2182"/>
      <c r="C10" s="2182"/>
      <c r="D10" s="2182"/>
      <c r="E10" s="2182"/>
      <c r="F10" s="2182"/>
      <c r="G10" s="1294"/>
      <c r="H10" s="28"/>
      <c r="I10" s="2191" t="s">
        <v>3076</v>
      </c>
      <c r="J10" s="983"/>
      <c r="K10" s="2197" t="s">
        <v>3076</v>
      </c>
      <c r="L10" s="983"/>
      <c r="M10" s="2197" t="s">
        <v>3076</v>
      </c>
      <c r="N10" s="983"/>
      <c r="O10" s="2197" t="s">
        <v>1373</v>
      </c>
      <c r="P10" s="983"/>
      <c r="Q10" s="2197" t="s">
        <v>3158</v>
      </c>
      <c r="R10" s="983"/>
      <c r="S10" s="2197" t="s">
        <v>3184</v>
      </c>
      <c r="T10" s="983"/>
      <c r="U10" s="2197" t="s">
        <v>3184</v>
      </c>
      <c r="V10" s="983"/>
      <c r="W10" s="2197" t="s">
        <v>1373</v>
      </c>
      <c r="X10" s="983"/>
      <c r="Y10" s="2197"/>
      <c r="Z10" s="983"/>
      <c r="AA10" s="2197"/>
      <c r="AB10" s="983"/>
      <c r="AC10" s="1294"/>
      <c r="AD10" s="15" t="s">
        <v>1893</v>
      </c>
      <c r="AE10" s="2198"/>
      <c r="AF10" s="15" t="s">
        <v>1893</v>
      </c>
      <c r="AG10" s="2198"/>
      <c r="AH10" s="15" t="s">
        <v>1894</v>
      </c>
      <c r="AI10" s="2198"/>
      <c r="AJ10" s="15" t="s">
        <v>1894</v>
      </c>
      <c r="AK10" s="2198"/>
      <c r="AL10" s="15" t="s">
        <v>1895</v>
      </c>
      <c r="AM10" s="1300"/>
      <c r="AN10" s="15" t="s">
        <v>1895</v>
      </c>
      <c r="AO10" s="1300"/>
      <c r="AP10" s="15" t="s">
        <v>1896</v>
      </c>
      <c r="AQ10" s="1300"/>
      <c r="AR10" s="15" t="s">
        <v>1896</v>
      </c>
      <c r="AS10" s="1300"/>
      <c r="AT10" s="2182"/>
      <c r="AU10" s="2182"/>
      <c r="AV10" s="1294"/>
      <c r="AW10" s="2165"/>
      <c r="AX10" s="1294"/>
      <c r="AY10" s="28"/>
      <c r="AZ10" s="28"/>
      <c r="BA10" s="2199" t="s">
        <v>1887</v>
      </c>
      <c r="BB10" s="2200" t="str">
        <f>I9</f>
        <v>地上</v>
      </c>
      <c r="BC10" s="29" t="str">
        <f>K9</f>
        <v>地上</v>
      </c>
      <c r="BD10" s="29" t="str">
        <f>M9</f>
        <v>地上</v>
      </c>
      <c r="BE10" s="29" t="str">
        <f>O9</f>
        <v>地上</v>
      </c>
      <c r="BF10" s="29" t="str">
        <f>Q9</f>
        <v>地下</v>
      </c>
      <c r="BG10" s="29" t="str">
        <f>S9</f>
        <v>地下</v>
      </c>
      <c r="BH10" s="29" t="str">
        <f>U9</f>
        <v>地下</v>
      </c>
      <c r="BI10" s="29" t="str">
        <f>W9</f>
        <v>地下</v>
      </c>
      <c r="BJ10" s="29">
        <f>Y9</f>
        <v>0</v>
      </c>
      <c r="BK10" s="29">
        <f>AA9</f>
        <v>0</v>
      </c>
      <c r="BL10" s="25" t="s">
        <v>1887</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3179</v>
      </c>
      <c r="J11" s="2203"/>
      <c r="K11" s="2202" t="s">
        <v>3181</v>
      </c>
      <c r="L11" s="2203"/>
      <c r="M11" s="2202" t="s">
        <v>3181</v>
      </c>
      <c r="N11" s="2203"/>
      <c r="O11" s="2202" t="s">
        <v>3183</v>
      </c>
      <c r="P11" s="2203"/>
      <c r="Q11" s="2202" t="s">
        <v>3158</v>
      </c>
      <c r="R11" s="2203"/>
      <c r="S11" s="2202" t="s">
        <v>3185</v>
      </c>
      <c r="T11" s="2203"/>
      <c r="U11" s="2202" t="s">
        <v>3185</v>
      </c>
      <c r="V11" s="2203"/>
      <c r="W11" s="2202" t="s">
        <v>3186</v>
      </c>
      <c r="X11" s="2203"/>
      <c r="Y11" s="2202"/>
      <c r="Z11" s="2203"/>
      <c r="AA11" s="2202"/>
      <c r="AB11" s="2203"/>
      <c r="AC11" s="1294"/>
      <c r="AD11" s="2204" t="s">
        <v>1897</v>
      </c>
      <c r="AE11" s="1820"/>
      <c r="AF11" s="2204" t="s">
        <v>1897</v>
      </c>
      <c r="AG11" s="1820"/>
      <c r="AH11" s="2204" t="s">
        <v>1898</v>
      </c>
      <c r="AI11" s="2205"/>
      <c r="AJ11" s="2204" t="s">
        <v>1898</v>
      </c>
      <c r="AK11" s="1820"/>
      <c r="AL11" s="1818"/>
      <c r="AM11" s="1820"/>
      <c r="AN11" s="1818"/>
      <c r="AO11" s="1820"/>
      <c r="AP11" s="1818"/>
      <c r="AQ11" s="1820"/>
      <c r="AR11" s="1818"/>
      <c r="AS11" s="1820"/>
      <c r="AT11" s="2165"/>
      <c r="AU11" s="2182"/>
      <c r="AV11" s="1294"/>
      <c r="AW11" s="2165"/>
      <c r="AX11" s="1294"/>
      <c r="AY11" s="28"/>
      <c r="AZ11" s="28"/>
      <c r="BA11" s="28"/>
      <c r="BB11" s="2187" t="str">
        <f>I10</f>
        <v>住宅</v>
      </c>
      <c r="BC11" s="2187" t="str">
        <f>K10</f>
        <v>住宅</v>
      </c>
      <c r="BD11" s="2187" t="str">
        <f>M10</f>
        <v>住宅</v>
      </c>
      <c r="BE11" s="2187" t="str">
        <f>O10</f>
        <v>商业</v>
      </c>
      <c r="BF11" s="2187" t="str">
        <f>Q10</f>
        <v>车库</v>
      </c>
      <c r="BG11" s="2187" t="str">
        <f>S10</f>
        <v>仓储</v>
      </c>
      <c r="BH11" s="2187" t="str">
        <f>U10</f>
        <v>仓储</v>
      </c>
      <c r="BI11" s="2187" t="str">
        <f>W10</f>
        <v>商业</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3" t="s">
        <v>1900</v>
      </c>
      <c r="W12" s="11" t="s">
        <v>1899</v>
      </c>
      <c r="X12" s="11" t="s">
        <v>1900</v>
      </c>
      <c r="Y12" s="11" t="s">
        <v>1899</v>
      </c>
      <c r="Z12" s="11" t="s">
        <v>1900</v>
      </c>
      <c r="AA12" s="11" t="s">
        <v>1899</v>
      </c>
      <c r="AB12" s="11" t="s">
        <v>1900</v>
      </c>
      <c r="AC12" s="2209"/>
      <c r="AD12" s="1807"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7" t="s">
        <v>1900</v>
      </c>
      <c r="AT12" s="2210"/>
      <c r="AU12" s="2207"/>
      <c r="AV12" s="31"/>
      <c r="AW12" s="2166"/>
      <c r="AX12" s="31"/>
      <c r="AY12" s="2211"/>
      <c r="AZ12" s="28"/>
      <c r="BA12" s="2199"/>
      <c r="BB12" s="24" t="str">
        <f>I11</f>
        <v>合院</v>
      </c>
      <c r="BC12" s="2212" t="str">
        <f>K11</f>
        <v>洋房</v>
      </c>
      <c r="BD12" s="2212" t="str">
        <f>M11</f>
        <v>洋房</v>
      </c>
      <c r="BE12" s="2187" t="str">
        <f>O11</f>
        <v>底商</v>
      </c>
      <c r="BF12" s="2187" t="str">
        <f>Q11</f>
        <v>车库</v>
      </c>
      <c r="BG12" s="2187" t="str">
        <f>S11</f>
        <v>戊类库房</v>
      </c>
      <c r="BH12" s="2187" t="str">
        <f>U11</f>
        <v>戊类库房</v>
      </c>
      <c r="BI12" s="2187" t="str">
        <f>W11</f>
        <v>商业街</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c r="D13" s="2213" t="s">
        <v>3178</v>
      </c>
      <c r="E13" s="16">
        <f>IF($C$3="是",ROUND($A$3*G13/$B$3,2),ROUND($A$3*(G13-AT13)/$B$3,2))</f>
        <v>87365.48</v>
      </c>
      <c r="F13" s="32"/>
      <c r="G13" s="33">
        <f>H13+AC13+AT13</f>
        <v>229868.52000000002</v>
      </c>
      <c r="H13" s="20">
        <f>SUMIF(I$12:AB$12,"总值",I13:AB13)</f>
        <v>212499.44</v>
      </c>
      <c r="I13" s="2214">
        <f>规证面积!S87-I14</f>
        <v>44026.80999999999</v>
      </c>
      <c r="J13" s="2214"/>
      <c r="K13" s="2214">
        <f>规证面积!D109-规证面积!Q109</f>
        <v>10848.240000000013</v>
      </c>
      <c r="L13" s="2214"/>
      <c r="M13" s="2214">
        <f>规证面积!Q109</f>
        <v>31676.1</v>
      </c>
      <c r="N13" s="2214"/>
      <c r="O13" s="2214">
        <f>规证面积!F96</f>
        <v>250</v>
      </c>
      <c r="P13" s="2214"/>
      <c r="Q13" s="2214">
        <f>规证面积!T87-Q14</f>
        <v>36043.919999999998</v>
      </c>
      <c r="R13" s="2214"/>
      <c r="S13" s="2214">
        <f>规证面积!U87-S14</f>
        <v>79252.239999999991</v>
      </c>
      <c r="T13" s="2214"/>
      <c r="U13" s="2214">
        <f>规证面积!G95</f>
        <v>10172.129999999999</v>
      </c>
      <c r="V13" s="2214"/>
      <c r="W13" s="2214">
        <f>规证面积!K96</f>
        <v>230</v>
      </c>
      <c r="X13" s="2214"/>
      <c r="Y13" s="2214"/>
      <c r="Z13" s="2214"/>
      <c r="AA13" s="2214"/>
      <c r="AB13" s="2214"/>
      <c r="AC13" s="16">
        <f>SUMIF(AD$12:AS$12,"总值",AD13:AS13)</f>
        <v>6661.939999999996</v>
      </c>
      <c r="AD13" s="2215">
        <f>规证面积!E96-'数据-基础表'!AH13</f>
        <v>1770</v>
      </c>
      <c r="AE13" s="2215"/>
      <c r="AF13" s="2215"/>
      <c r="AG13" s="2215"/>
      <c r="AH13" s="2215">
        <v>100</v>
      </c>
      <c r="AI13" s="2215"/>
      <c r="AJ13" s="2215">
        <f>规证面积!J96</f>
        <v>50</v>
      </c>
      <c r="AK13" s="2215"/>
      <c r="AL13" s="2215">
        <f>规证面积!D95</f>
        <v>168</v>
      </c>
      <c r="AM13" s="2215"/>
      <c r="AN13" s="2215">
        <f>规证面积!I95+规证面积!V91</f>
        <v>4573.939999999996</v>
      </c>
      <c r="AO13" s="2215"/>
      <c r="AP13" s="2215"/>
      <c r="AQ13" s="2215"/>
      <c r="AR13" s="2215"/>
      <c r="AS13" s="2215"/>
      <c r="AT13" s="2216">
        <v>10707.14</v>
      </c>
      <c r="AU13" s="2217"/>
      <c r="AV13" s="11">
        <f t="shared" ref="AV13:AX17" si="6">A13</f>
        <v>0</v>
      </c>
      <c r="AW13" s="11">
        <f t="shared" si="6"/>
        <v>0</v>
      </c>
      <c r="AX13" s="11">
        <f t="shared" si="6"/>
        <v>0</v>
      </c>
      <c r="AY13" s="1807">
        <f>ROUND($AY$6*AZ13/$AZ$5,2)</f>
        <v>82881.19</v>
      </c>
      <c r="AZ13" s="16">
        <f>BA13+BL13</f>
        <v>219161.38</v>
      </c>
      <c r="BA13" s="16">
        <f>SUM(BB13:BK13)</f>
        <v>212499.44</v>
      </c>
      <c r="BB13" s="16">
        <f>IF($D13="是",I13-J13,0)</f>
        <v>44026.80999999999</v>
      </c>
      <c r="BC13" s="16">
        <f>IF($D13="是",K13-L13,0)</f>
        <v>10848.240000000013</v>
      </c>
      <c r="BD13" s="16">
        <f>IF($D13="是",M13-N13,0)</f>
        <v>31676.1</v>
      </c>
      <c r="BE13" s="16">
        <f>IF($D13="是",O13-P13,0)</f>
        <v>250</v>
      </c>
      <c r="BF13" s="16">
        <f>IF($D13="是",Q13-R13,0)</f>
        <v>36043.919999999998</v>
      </c>
      <c r="BG13" s="16">
        <f>IF($D13="是",S13-T13,0)</f>
        <v>79252.239999999991</v>
      </c>
      <c r="BH13" s="16">
        <f>IF($D13="是",U13-V13,0)</f>
        <v>10172.129999999999</v>
      </c>
      <c r="BI13" s="16">
        <f>IF($D13="是",W13-X13,0)</f>
        <v>230</v>
      </c>
      <c r="BJ13" s="16">
        <f>IF($D13="是",Y13-Z13,0)</f>
        <v>0</v>
      </c>
      <c r="BK13" s="16">
        <f>IF($D13="是",AA13-AB13,0)</f>
        <v>0</v>
      </c>
      <c r="BL13" s="16">
        <f>SUM(BM13:BT13)</f>
        <v>6661.939999999996</v>
      </c>
      <c r="BM13" s="16">
        <f>IF($D13="是",AD13-AE13,0)</f>
        <v>1770</v>
      </c>
      <c r="BN13" s="16">
        <f>IF($D13="是",AF13-AG13,0)</f>
        <v>0</v>
      </c>
      <c r="BO13" s="16">
        <f>IF($D13="是",AH13-AI13,0)</f>
        <v>100</v>
      </c>
      <c r="BP13" s="16">
        <f>IF($D13="是",AJ13-AK13,0)</f>
        <v>50</v>
      </c>
      <c r="BQ13" s="16">
        <f>IF($D13="是",AL13-AM13,0)</f>
        <v>168</v>
      </c>
      <c r="BR13" s="16">
        <f>IF($D13="是",AN13-AO13,0)</f>
        <v>4573.939999999996</v>
      </c>
      <c r="BS13" s="16">
        <f>IF($D13="是",AP13-AQ13,0)</f>
        <v>0</v>
      </c>
      <c r="BT13" s="22">
        <f>IF($D13="是",AR13-AS13,0)</f>
        <v>0</v>
      </c>
    </row>
    <row r="14" spans="1:72" s="2167" customFormat="1" ht="12.75">
      <c r="A14" s="1274"/>
      <c r="B14" s="1274"/>
      <c r="C14" s="3000" t="s">
        <v>3348</v>
      </c>
      <c r="D14" s="2213" t="s">
        <v>3048</v>
      </c>
      <c r="E14" s="16">
        <f>IF($C$3="是",ROUND($A$3*G14/$B$3,2),ROUND($A$3*(G14-AT14)/$B$3,2))</f>
        <v>3677.73</v>
      </c>
      <c r="F14" s="32"/>
      <c r="G14" s="33">
        <f>H14+AC14+AT14</f>
        <v>9676.5300000000007</v>
      </c>
      <c r="H14" s="20">
        <f>SUMIF(I$12:AB$12,"总值",I14:AB14)</f>
        <v>9676.5300000000007</v>
      </c>
      <c r="I14" s="2214">
        <f>已售清单!J104</f>
        <v>2684.0300000000007</v>
      </c>
      <c r="J14" s="2214"/>
      <c r="K14" s="2214"/>
      <c r="L14" s="2214"/>
      <c r="M14" s="2214"/>
      <c r="N14" s="2214"/>
      <c r="O14" s="2214"/>
      <c r="P14" s="2214"/>
      <c r="Q14" s="2214">
        <f>已售清单!L104</f>
        <v>2184.4800000000005</v>
      </c>
      <c r="R14" s="2214"/>
      <c r="S14" s="2214">
        <f>已售清单!K104</f>
        <v>4808.0199999999995</v>
      </c>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已售部分</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9"/>
  <sheetViews>
    <sheetView topLeftCell="G64" workbookViewId="0">
      <selection activeCell="M92" sqref="M92"/>
    </sheetView>
  </sheetViews>
  <sheetFormatPr defaultRowHeight="13.5"/>
  <cols>
    <col min="2" max="2" width="9" customWidth="1"/>
    <col min="3" max="3" width="9.875" customWidth="1"/>
    <col min="4" max="4" width="9.75" customWidth="1"/>
    <col min="5" max="5" width="7.75" customWidth="1"/>
    <col min="6" max="9" width="9" customWidth="1"/>
    <col min="10" max="10" width="9" hidden="1" customWidth="1"/>
    <col min="11" max="12" width="9" customWidth="1"/>
    <col min="13" max="13" width="11.125" customWidth="1"/>
    <col min="14" max="14" width="9.125" customWidth="1"/>
    <col min="15" max="15" width="9" customWidth="1"/>
    <col min="16" max="16" width="10.5" customWidth="1"/>
    <col min="17" max="17" width="9" customWidth="1"/>
    <col min="18" max="18" width="11" customWidth="1"/>
  </cols>
  <sheetData>
    <row r="1" spans="1:22">
      <c r="A1" s="2960" t="s">
        <v>3073</v>
      </c>
      <c r="B1" s="2961"/>
      <c r="C1" s="2961"/>
      <c r="D1" s="2960" t="s">
        <v>3074</v>
      </c>
      <c r="E1" s="2960"/>
      <c r="F1" s="2960" t="s">
        <v>3075</v>
      </c>
      <c r="G1" s="2960"/>
      <c r="H1" s="2961"/>
      <c r="I1" s="2961"/>
      <c r="J1" s="2961"/>
      <c r="K1" s="2961"/>
      <c r="S1" s="2960" t="s">
        <v>3074</v>
      </c>
      <c r="T1" s="2960"/>
      <c r="U1" s="2960" t="s">
        <v>3075</v>
      </c>
      <c r="V1" s="2960"/>
    </row>
    <row r="2" spans="1:22">
      <c r="A2" s="3031"/>
      <c r="B2" s="3032"/>
      <c r="C2" s="3032"/>
      <c r="D2" s="3031" t="s">
        <v>3076</v>
      </c>
      <c r="E2" s="3031" t="s">
        <v>3077</v>
      </c>
      <c r="F2" s="3031" t="s">
        <v>3078</v>
      </c>
      <c r="G2" s="3031" t="s">
        <v>3079</v>
      </c>
      <c r="H2" s="3031" t="s">
        <v>3080</v>
      </c>
      <c r="I2" s="3031" t="s">
        <v>3081</v>
      </c>
      <c r="J2" s="3031" t="s">
        <v>3082</v>
      </c>
      <c r="K2" s="3031" t="s">
        <v>3083</v>
      </c>
      <c r="L2" s="3031"/>
      <c r="M2" s="3005"/>
      <c r="N2" s="3045" t="s">
        <v>3323</v>
      </c>
      <c r="O2" s="3045" t="s">
        <v>3340</v>
      </c>
      <c r="P2" s="3045" t="s">
        <v>3324</v>
      </c>
      <c r="Q2" s="3046">
        <v>0.6</v>
      </c>
      <c r="R2" s="3045" t="s">
        <v>3342</v>
      </c>
      <c r="S2" s="3031" t="s">
        <v>3076</v>
      </c>
      <c r="T2" s="3031" t="s">
        <v>3077</v>
      </c>
      <c r="U2" s="3031" t="s">
        <v>3078</v>
      </c>
      <c r="V2" s="2960" t="s">
        <v>3079</v>
      </c>
    </row>
    <row r="3" spans="1:22">
      <c r="A3" s="3031" t="s">
        <v>3084</v>
      </c>
      <c r="B3" s="3031" t="s">
        <v>3085</v>
      </c>
      <c r="C3" s="3031">
        <v>816.37</v>
      </c>
      <c r="D3" s="3032">
        <v>282.8</v>
      </c>
      <c r="E3" s="3032"/>
      <c r="F3" s="3032">
        <v>484.57</v>
      </c>
      <c r="G3" s="3032">
        <v>49</v>
      </c>
      <c r="H3" s="3032">
        <v>2</v>
      </c>
      <c r="I3" s="3032">
        <v>3</v>
      </c>
      <c r="J3" s="3032">
        <v>1</v>
      </c>
      <c r="K3" s="3032">
        <v>2</v>
      </c>
      <c r="L3" s="3005"/>
      <c r="M3" s="3045">
        <f>R3</f>
        <v>817.74</v>
      </c>
      <c r="N3" s="3045" t="s">
        <v>3333</v>
      </c>
      <c r="O3" s="3047">
        <f>IF(N3="封顶",60%,IF(N3="1层",45%,IF(N3="地下1层",30%,IF(N3="地下2层",25%,IF(N3="地下3层",20%,IF(N3="坑基",10%))))))</f>
        <v>0.2</v>
      </c>
      <c r="P3" s="3045" t="s">
        <v>3325</v>
      </c>
      <c r="Q3" s="3046">
        <v>0.45</v>
      </c>
      <c r="R3" s="3005">
        <v>817.74</v>
      </c>
      <c r="S3" s="3005">
        <v>282.56</v>
      </c>
      <c r="T3" s="3005"/>
      <c r="U3" s="3005">
        <f t="shared" ref="U3:U31" si="0">R3-S3</f>
        <v>535.18000000000006</v>
      </c>
    </row>
    <row r="4" spans="1:22">
      <c r="A4" s="3031" t="s">
        <v>3086</v>
      </c>
      <c r="B4" s="3031" t="s">
        <v>3085</v>
      </c>
      <c r="C4" s="3031">
        <v>816.37</v>
      </c>
      <c r="D4" s="3032">
        <v>282.8</v>
      </c>
      <c r="E4" s="3032"/>
      <c r="F4" s="3032">
        <v>484.57</v>
      </c>
      <c r="G4" s="3032">
        <v>49</v>
      </c>
      <c r="H4" s="3032">
        <v>2</v>
      </c>
      <c r="I4" s="3032">
        <v>3</v>
      </c>
      <c r="J4" s="3032">
        <v>1</v>
      </c>
      <c r="K4" s="3032">
        <v>2</v>
      </c>
      <c r="L4" s="3005"/>
      <c r="M4" s="3045">
        <f t="shared" ref="M4:M67" si="1">R4</f>
        <v>817.45</v>
      </c>
      <c r="N4" s="3045" t="s">
        <v>3325</v>
      </c>
      <c r="O4" s="3047">
        <f t="shared" ref="O4:O67" si="2">IF(N4="封顶",60%,IF(N4="1层",45%,IF(N4="地下1层",30%,IF(N4="地下2层",25%,IF(N4="地下3层",20%,IF(N4="坑基",10%))))))</f>
        <v>0.45</v>
      </c>
      <c r="P4" s="3045" t="s">
        <v>3326</v>
      </c>
      <c r="Q4" s="3046">
        <v>0.3</v>
      </c>
      <c r="R4" s="3005">
        <v>817.45</v>
      </c>
      <c r="S4" s="3005">
        <v>282.56</v>
      </c>
      <c r="T4" s="3005"/>
      <c r="U4" s="3005">
        <f t="shared" si="0"/>
        <v>534.8900000000001</v>
      </c>
    </row>
    <row r="5" spans="1:22">
      <c r="A5" s="3031" t="s">
        <v>3087</v>
      </c>
      <c r="B5" s="3031" t="s">
        <v>3085</v>
      </c>
      <c r="C5" s="3031">
        <v>1202.82</v>
      </c>
      <c r="D5" s="3032">
        <v>435.55</v>
      </c>
      <c r="E5" s="3032"/>
      <c r="F5" s="3032">
        <v>669.27</v>
      </c>
      <c r="G5" s="3032">
        <v>98</v>
      </c>
      <c r="H5" s="3032">
        <v>2</v>
      </c>
      <c r="I5" s="3032">
        <v>3</v>
      </c>
      <c r="J5" s="3032">
        <v>1</v>
      </c>
      <c r="K5" s="3032">
        <v>4</v>
      </c>
      <c r="L5" s="3005"/>
      <c r="M5" s="3045">
        <f t="shared" si="1"/>
        <v>1215.04</v>
      </c>
      <c r="N5" s="3045" t="s">
        <v>3334</v>
      </c>
      <c r="O5" s="3047">
        <f t="shared" si="2"/>
        <v>0.45</v>
      </c>
      <c r="P5" s="3045" t="s">
        <v>3327</v>
      </c>
      <c r="Q5" s="3046">
        <v>0.25</v>
      </c>
      <c r="R5" s="3005">
        <v>1215.04</v>
      </c>
      <c r="S5" s="3005">
        <v>435.56</v>
      </c>
      <c r="T5" s="3005"/>
      <c r="U5" s="3005">
        <f t="shared" si="0"/>
        <v>779.48</v>
      </c>
    </row>
    <row r="6" spans="1:22">
      <c r="A6" s="3031" t="s">
        <v>3088</v>
      </c>
      <c r="B6" s="3031" t="s">
        <v>3085</v>
      </c>
      <c r="C6" s="3031">
        <v>1799.5</v>
      </c>
      <c r="D6" s="3032">
        <v>652</v>
      </c>
      <c r="E6" s="3032"/>
      <c r="F6" s="3032">
        <v>1000.5</v>
      </c>
      <c r="G6" s="3032">
        <v>147</v>
      </c>
      <c r="H6" s="3032">
        <v>2</v>
      </c>
      <c r="I6" s="3032">
        <v>3</v>
      </c>
      <c r="J6" s="3032">
        <v>1</v>
      </c>
      <c r="K6" s="3032">
        <v>6</v>
      </c>
      <c r="L6" s="3005"/>
      <c r="M6" s="3045">
        <f t="shared" si="1"/>
        <v>1815.68</v>
      </c>
      <c r="N6" s="3005" t="str">
        <f>N3</f>
        <v>地下3层</v>
      </c>
      <c r="O6" s="3047">
        <f t="shared" si="2"/>
        <v>0.2</v>
      </c>
      <c r="P6" s="3045" t="s">
        <v>3328</v>
      </c>
      <c r="Q6" s="3046">
        <v>0.2</v>
      </c>
      <c r="R6" s="3005">
        <v>1815.68</v>
      </c>
      <c r="S6" s="3005">
        <v>652.01</v>
      </c>
      <c r="T6" s="3005"/>
      <c r="U6" s="3005">
        <f t="shared" si="0"/>
        <v>1163.67</v>
      </c>
    </row>
    <row r="7" spans="1:22">
      <c r="A7" s="3031" t="s">
        <v>3089</v>
      </c>
      <c r="B7" s="3031" t="s">
        <v>3085</v>
      </c>
      <c r="C7" s="3031">
        <v>1799.5</v>
      </c>
      <c r="D7" s="3032">
        <v>652</v>
      </c>
      <c r="E7" s="3032"/>
      <c r="F7" s="3032">
        <v>1000.5</v>
      </c>
      <c r="G7" s="3032">
        <v>147</v>
      </c>
      <c r="H7" s="3032">
        <v>2</v>
      </c>
      <c r="I7" s="3032">
        <v>3</v>
      </c>
      <c r="J7" s="3032">
        <v>1</v>
      </c>
      <c r="K7" s="3032">
        <v>6</v>
      </c>
      <c r="L7" s="3005"/>
      <c r="M7" s="3045">
        <f t="shared" si="1"/>
        <v>1816.24</v>
      </c>
      <c r="N7" s="3005" t="str">
        <f>N3</f>
        <v>地下3层</v>
      </c>
      <c r="O7" s="3047">
        <f t="shared" si="2"/>
        <v>0.2</v>
      </c>
      <c r="P7" s="3045" t="s">
        <v>3329</v>
      </c>
      <c r="Q7" s="3046">
        <v>0.1</v>
      </c>
      <c r="R7" s="3005">
        <v>1816.24</v>
      </c>
      <c r="S7" s="3005">
        <v>652.01</v>
      </c>
      <c r="T7" s="3005"/>
      <c r="U7" s="3005">
        <f t="shared" si="0"/>
        <v>1164.23</v>
      </c>
    </row>
    <row r="8" spans="1:22">
      <c r="A8" s="3031" t="s">
        <v>3060</v>
      </c>
      <c r="B8" s="3031" t="s">
        <v>3085</v>
      </c>
      <c r="C8" s="3031">
        <v>1202.82</v>
      </c>
      <c r="D8" s="3032">
        <v>435.55</v>
      </c>
      <c r="E8" s="3032"/>
      <c r="F8" s="3032">
        <v>669.27</v>
      </c>
      <c r="G8" s="3032">
        <v>98</v>
      </c>
      <c r="H8" s="3032">
        <v>2</v>
      </c>
      <c r="I8" s="3032">
        <v>3</v>
      </c>
      <c r="J8" s="3032">
        <v>1</v>
      </c>
      <c r="K8" s="3032">
        <v>4</v>
      </c>
      <c r="L8" s="3005"/>
      <c r="M8" s="3045">
        <f t="shared" si="1"/>
        <v>1215.04</v>
      </c>
      <c r="N8" s="3045" t="s">
        <v>3324</v>
      </c>
      <c r="O8" s="3047">
        <f t="shared" si="2"/>
        <v>0.6</v>
      </c>
      <c r="P8" s="3045" t="s">
        <v>3330</v>
      </c>
      <c r="Q8" s="3046">
        <v>0</v>
      </c>
      <c r="R8" s="3005">
        <v>1215.04</v>
      </c>
      <c r="S8" s="3005">
        <v>435.56</v>
      </c>
      <c r="T8" s="3005"/>
      <c r="U8" s="3005">
        <f t="shared" si="0"/>
        <v>779.48</v>
      </c>
    </row>
    <row r="9" spans="1:22">
      <c r="A9" s="3031" t="s">
        <v>3090</v>
      </c>
      <c r="B9" s="3031" t="s">
        <v>3085</v>
      </c>
      <c r="C9" s="3031">
        <v>1799.5</v>
      </c>
      <c r="D9" s="3032">
        <v>652</v>
      </c>
      <c r="E9" s="3032"/>
      <c r="F9" s="3032">
        <v>1000.5</v>
      </c>
      <c r="G9" s="3032">
        <v>147</v>
      </c>
      <c r="H9" s="3032">
        <v>2</v>
      </c>
      <c r="I9" s="3032">
        <v>3</v>
      </c>
      <c r="J9" s="3032">
        <v>1</v>
      </c>
      <c r="K9" s="3032">
        <v>6</v>
      </c>
      <c r="L9" s="3005"/>
      <c r="M9" s="3045">
        <f t="shared" si="1"/>
        <v>1817.98</v>
      </c>
      <c r="N9" s="3005" t="str">
        <f>N8</f>
        <v>封顶</v>
      </c>
      <c r="O9" s="3047">
        <f t="shared" si="2"/>
        <v>0.6</v>
      </c>
      <c r="P9" s="3045" t="s">
        <v>3332</v>
      </c>
      <c r="Q9" s="3048">
        <v>0.8</v>
      </c>
      <c r="R9" s="3005">
        <v>1817.98</v>
      </c>
      <c r="S9" s="3005">
        <v>652.01</v>
      </c>
      <c r="T9" s="3005"/>
      <c r="U9" s="3005">
        <f t="shared" si="0"/>
        <v>1165.97</v>
      </c>
    </row>
    <row r="10" spans="1:22">
      <c r="A10" s="3031" t="s">
        <v>3091</v>
      </c>
      <c r="B10" s="3031" t="s">
        <v>3085</v>
      </c>
      <c r="C10" s="3031">
        <v>1202.82</v>
      </c>
      <c r="D10" s="3032">
        <v>435.55</v>
      </c>
      <c r="E10" s="3032"/>
      <c r="F10" s="3032">
        <v>669.27</v>
      </c>
      <c r="G10" s="3032">
        <v>98</v>
      </c>
      <c r="H10" s="3032">
        <v>2</v>
      </c>
      <c r="I10" s="3032">
        <v>3</v>
      </c>
      <c r="J10" s="3032">
        <v>1</v>
      </c>
      <c r="K10" s="3032">
        <v>4</v>
      </c>
      <c r="L10" s="3005"/>
      <c r="M10" s="3045">
        <f t="shared" si="1"/>
        <v>1213.94</v>
      </c>
      <c r="N10" s="3045" t="s">
        <v>3327</v>
      </c>
      <c r="O10" s="3047">
        <f t="shared" si="2"/>
        <v>0.25</v>
      </c>
      <c r="P10" s="3045" t="s">
        <v>3331</v>
      </c>
      <c r="Q10" s="3048">
        <v>1</v>
      </c>
      <c r="R10" s="3005">
        <v>1213.94</v>
      </c>
      <c r="S10" s="3005">
        <v>435.56</v>
      </c>
      <c r="T10" s="3005"/>
      <c r="U10" s="3005">
        <f t="shared" si="0"/>
        <v>778.38000000000011</v>
      </c>
    </row>
    <row r="11" spans="1:22">
      <c r="A11" s="3031" t="s">
        <v>3061</v>
      </c>
      <c r="B11" s="3031" t="s">
        <v>3085</v>
      </c>
      <c r="C11" s="3031">
        <v>1202.82</v>
      </c>
      <c r="D11" s="3032">
        <v>435.55</v>
      </c>
      <c r="E11" s="3032"/>
      <c r="F11" s="3032">
        <v>669.27</v>
      </c>
      <c r="G11" s="3032">
        <v>98</v>
      </c>
      <c r="H11" s="3032">
        <v>2</v>
      </c>
      <c r="I11" s="3032">
        <v>3</v>
      </c>
      <c r="J11" s="3032">
        <v>1</v>
      </c>
      <c r="K11" s="3032">
        <v>4</v>
      </c>
      <c r="L11" s="3005"/>
      <c r="M11" s="3045">
        <f t="shared" si="1"/>
        <v>1213.94</v>
      </c>
      <c r="N11" s="3005" t="str">
        <f>N10</f>
        <v>地下2层</v>
      </c>
      <c r="O11" s="3047">
        <f t="shared" si="2"/>
        <v>0.25</v>
      </c>
      <c r="P11" s="3005"/>
      <c r="Q11" s="3005"/>
      <c r="R11" s="3005">
        <v>1213.94</v>
      </c>
      <c r="S11" s="3005">
        <v>435.56</v>
      </c>
      <c r="T11" s="3005"/>
      <c r="U11" s="3005">
        <f t="shared" si="0"/>
        <v>778.38000000000011</v>
      </c>
    </row>
    <row r="12" spans="1:22">
      <c r="A12" s="3031" t="s">
        <v>3092</v>
      </c>
      <c r="B12" s="3031" t="s">
        <v>3085</v>
      </c>
      <c r="C12" s="3031">
        <v>1799.5</v>
      </c>
      <c r="D12" s="3032">
        <v>652</v>
      </c>
      <c r="E12" s="3032"/>
      <c r="F12" s="3032">
        <v>1000.5</v>
      </c>
      <c r="G12" s="3032">
        <v>147</v>
      </c>
      <c r="H12" s="3032">
        <v>2</v>
      </c>
      <c r="I12" s="3032">
        <v>3</v>
      </c>
      <c r="J12" s="3032">
        <v>1</v>
      </c>
      <c r="K12" s="3032">
        <v>6</v>
      </c>
      <c r="L12" s="3005"/>
      <c r="M12" s="3045">
        <f t="shared" si="1"/>
        <v>1817.92</v>
      </c>
      <c r="N12" s="3005" t="str">
        <f>N8</f>
        <v>封顶</v>
      </c>
      <c r="O12" s="3047">
        <f t="shared" si="2"/>
        <v>0.6</v>
      </c>
      <c r="P12" s="3005"/>
      <c r="Q12" s="3005"/>
      <c r="R12" s="3005">
        <v>1817.92</v>
      </c>
      <c r="S12" s="3005">
        <v>652.01</v>
      </c>
      <c r="T12" s="3005"/>
      <c r="U12" s="3005">
        <f t="shared" si="0"/>
        <v>1165.9100000000001</v>
      </c>
    </row>
    <row r="13" spans="1:22">
      <c r="A13" s="3031" t="s">
        <v>3093</v>
      </c>
      <c r="B13" s="3031" t="s">
        <v>3085</v>
      </c>
      <c r="C13" s="3031">
        <v>1799.5</v>
      </c>
      <c r="D13" s="3032">
        <v>652</v>
      </c>
      <c r="E13" s="3032"/>
      <c r="F13" s="3032">
        <v>1000.5</v>
      </c>
      <c r="G13" s="3032">
        <v>147</v>
      </c>
      <c r="H13" s="3032">
        <v>2</v>
      </c>
      <c r="I13" s="3032">
        <v>3</v>
      </c>
      <c r="J13" s="3032">
        <v>1</v>
      </c>
      <c r="K13" s="3032">
        <v>6</v>
      </c>
      <c r="L13" s="3005"/>
      <c r="M13" s="3045">
        <f t="shared" si="1"/>
        <v>1817.96</v>
      </c>
      <c r="N13" s="3045" t="s">
        <v>3335</v>
      </c>
      <c r="O13" s="3047">
        <f t="shared" si="2"/>
        <v>0.3</v>
      </c>
      <c r="P13" s="3005"/>
      <c r="Q13" s="3005"/>
      <c r="R13" s="3005">
        <v>1817.96</v>
      </c>
      <c r="S13" s="3005">
        <v>652.01</v>
      </c>
      <c r="T13" s="3005"/>
      <c r="U13" s="3005">
        <f t="shared" si="0"/>
        <v>1165.95</v>
      </c>
    </row>
    <row r="14" spans="1:22">
      <c r="A14" s="3031" t="s">
        <v>3062</v>
      </c>
      <c r="B14" s="3031" t="s">
        <v>3085</v>
      </c>
      <c r="C14" s="3031">
        <v>1202.82</v>
      </c>
      <c r="D14" s="3032">
        <v>435.55</v>
      </c>
      <c r="E14" s="3032"/>
      <c r="F14" s="3032">
        <v>669.27</v>
      </c>
      <c r="G14" s="3032">
        <v>98</v>
      </c>
      <c r="H14" s="3032">
        <v>2</v>
      </c>
      <c r="I14" s="3032">
        <v>3</v>
      </c>
      <c r="J14" s="3032">
        <v>1</v>
      </c>
      <c r="K14" s="3032">
        <v>4</v>
      </c>
      <c r="L14" s="3005"/>
      <c r="M14" s="3045">
        <f t="shared" si="1"/>
        <v>1213.94</v>
      </c>
      <c r="N14" s="3005" t="str">
        <f>N10</f>
        <v>地下2层</v>
      </c>
      <c r="O14" s="3047">
        <f t="shared" si="2"/>
        <v>0.25</v>
      </c>
      <c r="P14" s="3005"/>
      <c r="Q14" s="3005"/>
      <c r="R14" s="3005">
        <v>1213.94</v>
      </c>
      <c r="S14" s="3005">
        <v>435.56</v>
      </c>
      <c r="T14" s="3005"/>
      <c r="U14" s="3005">
        <f t="shared" si="0"/>
        <v>778.38000000000011</v>
      </c>
    </row>
    <row r="15" spans="1:22">
      <c r="A15" s="3031" t="s">
        <v>3094</v>
      </c>
      <c r="B15" s="3031" t="s">
        <v>3085</v>
      </c>
      <c r="C15" s="3031">
        <v>1799.5</v>
      </c>
      <c r="D15" s="3032">
        <v>652</v>
      </c>
      <c r="E15" s="3032"/>
      <c r="F15" s="3032">
        <v>1000.5</v>
      </c>
      <c r="G15" s="3032">
        <v>147</v>
      </c>
      <c r="H15" s="3032">
        <v>2</v>
      </c>
      <c r="I15" s="3032">
        <v>3</v>
      </c>
      <c r="J15" s="3032">
        <v>1</v>
      </c>
      <c r="K15" s="3032">
        <v>6</v>
      </c>
      <c r="L15" s="3005"/>
      <c r="M15" s="3045">
        <f t="shared" si="1"/>
        <v>1816.88</v>
      </c>
      <c r="N15" s="3005" t="str">
        <f>N10</f>
        <v>地下2层</v>
      </c>
      <c r="O15" s="3047">
        <f t="shared" si="2"/>
        <v>0.25</v>
      </c>
      <c r="P15" s="3005"/>
      <c r="Q15" s="3005"/>
      <c r="R15" s="3005">
        <v>1816.88</v>
      </c>
      <c r="S15" s="3005">
        <v>652.01</v>
      </c>
      <c r="T15" s="3005"/>
      <c r="U15" s="3005">
        <f t="shared" si="0"/>
        <v>1164.8700000000001</v>
      </c>
    </row>
    <row r="16" spans="1:22">
      <c r="A16" s="3031" t="s">
        <v>3095</v>
      </c>
      <c r="B16" s="3031" t="s">
        <v>3085</v>
      </c>
      <c r="C16" s="3031">
        <v>1202.82</v>
      </c>
      <c r="D16" s="3032">
        <v>435.55</v>
      </c>
      <c r="E16" s="3032"/>
      <c r="F16" s="3032">
        <v>669.27</v>
      </c>
      <c r="G16" s="3032">
        <v>98</v>
      </c>
      <c r="H16" s="3032">
        <v>2</v>
      </c>
      <c r="I16" s="3032">
        <v>3</v>
      </c>
      <c r="J16" s="3032">
        <v>1</v>
      </c>
      <c r="K16" s="3032">
        <v>4</v>
      </c>
      <c r="L16" s="3005"/>
      <c r="M16" s="3045">
        <f t="shared" si="1"/>
        <v>1215.04</v>
      </c>
      <c r="N16" s="3045" t="s">
        <v>3335</v>
      </c>
      <c r="O16" s="3047">
        <f t="shared" si="2"/>
        <v>0.3</v>
      </c>
      <c r="P16" s="3005"/>
      <c r="Q16" s="3005"/>
      <c r="R16" s="3005">
        <v>1215.04</v>
      </c>
      <c r="S16" s="3005">
        <v>435.56</v>
      </c>
      <c r="T16" s="3005"/>
      <c r="U16" s="3005">
        <f t="shared" si="0"/>
        <v>779.48</v>
      </c>
    </row>
    <row r="17" spans="1:21">
      <c r="A17" s="3031" t="s">
        <v>3063</v>
      </c>
      <c r="B17" s="3031" t="s">
        <v>3085</v>
      </c>
      <c r="C17" s="3031">
        <v>619.78</v>
      </c>
      <c r="D17" s="3032">
        <v>225.49</v>
      </c>
      <c r="E17" s="3032"/>
      <c r="F17" s="3032">
        <v>345.29</v>
      </c>
      <c r="G17" s="3032">
        <v>49</v>
      </c>
      <c r="H17" s="3032">
        <v>2</v>
      </c>
      <c r="I17" s="3032">
        <v>3</v>
      </c>
      <c r="J17" s="3032">
        <v>1</v>
      </c>
      <c r="K17" s="3032">
        <v>2</v>
      </c>
      <c r="L17" s="3005"/>
      <c r="M17" s="3045">
        <f t="shared" si="1"/>
        <v>622.58000000000004</v>
      </c>
      <c r="N17" s="3005" t="str">
        <f>N16</f>
        <v>地下1层</v>
      </c>
      <c r="O17" s="3047">
        <f t="shared" si="2"/>
        <v>0.3</v>
      </c>
      <c r="P17" s="3005"/>
      <c r="Q17" s="3005"/>
      <c r="R17" s="3005">
        <v>622.58000000000004</v>
      </c>
      <c r="S17" s="3005">
        <v>225.49</v>
      </c>
      <c r="T17" s="3005"/>
      <c r="U17" s="3005">
        <f t="shared" si="0"/>
        <v>397.09000000000003</v>
      </c>
    </row>
    <row r="18" spans="1:21">
      <c r="A18" s="3031" t="s">
        <v>3096</v>
      </c>
      <c r="B18" s="3031" t="s">
        <v>3085</v>
      </c>
      <c r="C18" s="3031">
        <v>927.51</v>
      </c>
      <c r="D18" s="3032">
        <v>337.54</v>
      </c>
      <c r="E18" s="3032"/>
      <c r="F18" s="3032">
        <v>516.47</v>
      </c>
      <c r="G18" s="3032">
        <v>73.5</v>
      </c>
      <c r="H18" s="3032">
        <v>2</v>
      </c>
      <c r="I18" s="3032">
        <v>3</v>
      </c>
      <c r="J18" s="3032">
        <v>1</v>
      </c>
      <c r="K18" s="3032">
        <v>3</v>
      </c>
      <c r="L18" s="3005"/>
      <c r="M18" s="3045">
        <f t="shared" si="1"/>
        <v>935.79</v>
      </c>
      <c r="N18" s="3005" t="str">
        <f>N3</f>
        <v>地下3层</v>
      </c>
      <c r="O18" s="3047">
        <f t="shared" si="2"/>
        <v>0.2</v>
      </c>
      <c r="P18" s="3005"/>
      <c r="Q18" s="3005"/>
      <c r="R18" s="3005">
        <v>935.79</v>
      </c>
      <c r="S18" s="3005">
        <v>337.54</v>
      </c>
      <c r="T18" s="3005"/>
      <c r="U18" s="3005">
        <f t="shared" si="0"/>
        <v>598.25</v>
      </c>
    </row>
    <row r="19" spans="1:21">
      <c r="A19" s="3031" t="s">
        <v>3097</v>
      </c>
      <c r="B19" s="3031" t="s">
        <v>3085</v>
      </c>
      <c r="C19" s="3031">
        <v>1799.5</v>
      </c>
      <c r="D19" s="3032">
        <v>652</v>
      </c>
      <c r="E19" s="3032"/>
      <c r="F19" s="3032">
        <v>1000.5</v>
      </c>
      <c r="G19" s="3032">
        <v>147</v>
      </c>
      <c r="H19" s="3032">
        <v>2</v>
      </c>
      <c r="I19" s="3032">
        <v>3</v>
      </c>
      <c r="J19" s="3032">
        <v>1</v>
      </c>
      <c r="K19" s="3032">
        <v>6</v>
      </c>
      <c r="L19" s="3005"/>
      <c r="M19" s="3045">
        <f t="shared" si="1"/>
        <v>1816.88</v>
      </c>
      <c r="N19" s="3005" t="str">
        <f>N3</f>
        <v>地下3层</v>
      </c>
      <c r="O19" s="3047">
        <f t="shared" si="2"/>
        <v>0.2</v>
      </c>
      <c r="P19" s="3005"/>
      <c r="Q19" s="3005"/>
      <c r="R19" s="3005">
        <v>1816.88</v>
      </c>
      <c r="S19" s="3005">
        <v>652.01</v>
      </c>
      <c r="T19" s="3005"/>
      <c r="U19" s="3005">
        <f t="shared" si="0"/>
        <v>1164.8700000000001</v>
      </c>
    </row>
    <row r="20" spans="1:21">
      <c r="A20" s="3031" t="s">
        <v>3064</v>
      </c>
      <c r="B20" s="3031" t="s">
        <v>3085</v>
      </c>
      <c r="C20" s="3031">
        <v>1202.82</v>
      </c>
      <c r="D20" s="3032">
        <v>435.55</v>
      </c>
      <c r="E20" s="3032"/>
      <c r="F20" s="3032">
        <v>669.27</v>
      </c>
      <c r="G20" s="3032">
        <v>98</v>
      </c>
      <c r="H20" s="3032">
        <v>2</v>
      </c>
      <c r="I20" s="3032">
        <v>3</v>
      </c>
      <c r="J20" s="3032">
        <v>1</v>
      </c>
      <c r="K20" s="3032">
        <v>4</v>
      </c>
      <c r="L20" s="3005"/>
      <c r="M20" s="3045">
        <f t="shared" si="1"/>
        <v>1215.04</v>
      </c>
      <c r="N20" s="3005" t="str">
        <f>N13</f>
        <v>地下1层</v>
      </c>
      <c r="O20" s="3047">
        <f t="shared" si="2"/>
        <v>0.3</v>
      </c>
      <c r="P20" s="3005"/>
      <c r="Q20" s="3005"/>
      <c r="R20" s="3005">
        <v>1215.04</v>
      </c>
      <c r="S20" s="3005">
        <v>435.56</v>
      </c>
      <c r="T20" s="3005"/>
      <c r="U20" s="3005">
        <f t="shared" si="0"/>
        <v>779.48</v>
      </c>
    </row>
    <row r="21" spans="1:21">
      <c r="A21" s="3031" t="s">
        <v>3098</v>
      </c>
      <c r="B21" s="3031" t="s">
        <v>3085</v>
      </c>
      <c r="C21" s="3031">
        <v>1799.5</v>
      </c>
      <c r="D21" s="3032">
        <v>652</v>
      </c>
      <c r="E21" s="3032"/>
      <c r="F21" s="3032">
        <v>1000.5</v>
      </c>
      <c r="G21" s="3032">
        <v>147</v>
      </c>
      <c r="H21" s="3032">
        <v>2</v>
      </c>
      <c r="I21" s="3032">
        <v>3</v>
      </c>
      <c r="J21" s="3032">
        <v>1</v>
      </c>
      <c r="K21" s="3032">
        <v>6</v>
      </c>
      <c r="L21" s="3005"/>
      <c r="M21" s="3045">
        <f t="shared" si="1"/>
        <v>1817.96</v>
      </c>
      <c r="N21" s="3005" t="str">
        <f>N13</f>
        <v>地下1层</v>
      </c>
      <c r="O21" s="3047">
        <f t="shared" si="2"/>
        <v>0.3</v>
      </c>
      <c r="P21" s="3005"/>
      <c r="Q21" s="3005"/>
      <c r="R21" s="3005">
        <v>1817.96</v>
      </c>
      <c r="S21" s="3005">
        <v>652.01</v>
      </c>
      <c r="T21" s="3005"/>
      <c r="U21" s="3005">
        <f t="shared" si="0"/>
        <v>1165.95</v>
      </c>
    </row>
    <row r="22" spans="1:21">
      <c r="A22" s="3031" t="s">
        <v>3099</v>
      </c>
      <c r="B22" s="3031" t="s">
        <v>3085</v>
      </c>
      <c r="C22" s="3031">
        <v>1202.82</v>
      </c>
      <c r="D22" s="3032">
        <v>435.55</v>
      </c>
      <c r="E22" s="3032"/>
      <c r="F22" s="3032">
        <v>669.27</v>
      </c>
      <c r="G22" s="3032">
        <v>98</v>
      </c>
      <c r="H22" s="3032">
        <v>2</v>
      </c>
      <c r="I22" s="3032">
        <v>3</v>
      </c>
      <c r="J22" s="3032">
        <v>1</v>
      </c>
      <c r="K22" s="3032">
        <v>4</v>
      </c>
      <c r="L22" s="3005"/>
      <c r="M22" s="3045">
        <f t="shared" si="1"/>
        <v>1213.4000000000001</v>
      </c>
      <c r="N22" s="3005" t="str">
        <f>N3</f>
        <v>地下3层</v>
      </c>
      <c r="O22" s="3047">
        <f t="shared" si="2"/>
        <v>0.2</v>
      </c>
      <c r="P22" s="3005"/>
      <c r="Q22" s="3005"/>
      <c r="R22" s="3005">
        <v>1213.4000000000001</v>
      </c>
      <c r="S22" s="3005">
        <v>435.56</v>
      </c>
      <c r="T22" s="3005"/>
      <c r="U22" s="3005">
        <f t="shared" si="0"/>
        <v>777.84000000000015</v>
      </c>
    </row>
    <row r="23" spans="1:21">
      <c r="A23" s="3031" t="s">
        <v>3065</v>
      </c>
      <c r="B23" s="3031" t="s">
        <v>3085</v>
      </c>
      <c r="C23" s="3031">
        <v>1202.82</v>
      </c>
      <c r="D23" s="3032">
        <v>435.55</v>
      </c>
      <c r="E23" s="3032"/>
      <c r="F23" s="3032">
        <v>669.27</v>
      </c>
      <c r="G23" s="3032">
        <v>98</v>
      </c>
      <c r="H23" s="3032">
        <v>2</v>
      </c>
      <c r="I23" s="3032">
        <v>3</v>
      </c>
      <c r="J23" s="3032">
        <v>1</v>
      </c>
      <c r="K23" s="3032">
        <v>4</v>
      </c>
      <c r="L23" s="3005"/>
      <c r="M23" s="3045">
        <f t="shared" si="1"/>
        <v>1213.94</v>
      </c>
      <c r="N23" s="3005" t="str">
        <f>N3</f>
        <v>地下3层</v>
      </c>
      <c r="O23" s="3047">
        <f t="shared" si="2"/>
        <v>0.2</v>
      </c>
      <c r="P23" s="3005"/>
      <c r="Q23" s="3005"/>
      <c r="R23" s="3005">
        <v>1213.94</v>
      </c>
      <c r="S23" s="3005">
        <v>435.56</v>
      </c>
      <c r="T23" s="3005"/>
      <c r="U23" s="3005">
        <f t="shared" si="0"/>
        <v>778.38000000000011</v>
      </c>
    </row>
    <row r="24" spans="1:21">
      <c r="A24" s="3031" t="s">
        <v>3100</v>
      </c>
      <c r="B24" s="3031" t="s">
        <v>3085</v>
      </c>
      <c r="C24" s="3031">
        <v>1799.5</v>
      </c>
      <c r="D24" s="3032">
        <v>652</v>
      </c>
      <c r="E24" s="3032"/>
      <c r="F24" s="3032">
        <v>1000.5</v>
      </c>
      <c r="G24" s="3032">
        <v>147</v>
      </c>
      <c r="H24" s="3032">
        <v>2</v>
      </c>
      <c r="I24" s="3032">
        <v>3</v>
      </c>
      <c r="J24" s="3032">
        <v>1</v>
      </c>
      <c r="K24" s="3032">
        <v>6</v>
      </c>
      <c r="L24" s="3005"/>
      <c r="M24" s="3045">
        <f t="shared" si="1"/>
        <v>1817.98</v>
      </c>
      <c r="N24" s="3005" t="str">
        <f>N13</f>
        <v>地下1层</v>
      </c>
      <c r="O24" s="3047">
        <f t="shared" si="2"/>
        <v>0.3</v>
      </c>
      <c r="P24" s="3005"/>
      <c r="Q24" s="3005"/>
      <c r="R24" s="3005">
        <v>1817.98</v>
      </c>
      <c r="S24" s="3005">
        <v>652.01</v>
      </c>
      <c r="T24" s="3005"/>
      <c r="U24" s="3005">
        <f t="shared" si="0"/>
        <v>1165.97</v>
      </c>
    </row>
    <row r="25" spans="1:21">
      <c r="A25" s="3031" t="s">
        <v>3101</v>
      </c>
      <c r="B25" s="3031" t="s">
        <v>3085</v>
      </c>
      <c r="C25" s="3031">
        <v>1799.5</v>
      </c>
      <c r="D25" s="3032">
        <v>652</v>
      </c>
      <c r="E25" s="3032"/>
      <c r="F25" s="3032">
        <v>1000.5</v>
      </c>
      <c r="G25" s="3032">
        <v>147</v>
      </c>
      <c r="H25" s="3032">
        <v>2</v>
      </c>
      <c r="I25" s="3032">
        <v>3</v>
      </c>
      <c r="J25" s="3032">
        <v>1</v>
      </c>
      <c r="K25" s="3032">
        <v>6</v>
      </c>
      <c r="L25" s="3005"/>
      <c r="M25" s="3045">
        <f t="shared" si="1"/>
        <v>1818.18</v>
      </c>
      <c r="N25" s="3005" t="str">
        <f>N8</f>
        <v>封顶</v>
      </c>
      <c r="O25" s="3047">
        <f t="shared" si="2"/>
        <v>0.6</v>
      </c>
      <c r="P25" s="3005"/>
      <c r="Q25" s="3005"/>
      <c r="R25" s="3005">
        <v>1818.18</v>
      </c>
      <c r="S25" s="3005">
        <v>652.01</v>
      </c>
      <c r="T25" s="3005"/>
      <c r="U25" s="3005">
        <f t="shared" si="0"/>
        <v>1166.17</v>
      </c>
    </row>
    <row r="26" spans="1:21">
      <c r="A26" s="3031" t="s">
        <v>3066</v>
      </c>
      <c r="B26" s="3031" t="s">
        <v>3085</v>
      </c>
      <c r="C26" s="3031">
        <v>1202.82</v>
      </c>
      <c r="D26" s="3032">
        <v>435.55</v>
      </c>
      <c r="E26" s="3032"/>
      <c r="F26" s="3032">
        <v>669.27</v>
      </c>
      <c r="G26" s="3032">
        <v>98</v>
      </c>
      <c r="H26" s="3032">
        <v>2</v>
      </c>
      <c r="I26" s="3032">
        <v>3</v>
      </c>
      <c r="J26" s="3032">
        <v>1</v>
      </c>
      <c r="K26" s="3032">
        <v>4</v>
      </c>
      <c r="L26" s="3005"/>
      <c r="M26" s="3045">
        <f t="shared" si="1"/>
        <v>1213.94</v>
      </c>
      <c r="N26" s="3045" t="s">
        <v>3329</v>
      </c>
      <c r="O26" s="3047">
        <f t="shared" si="2"/>
        <v>0.1</v>
      </c>
      <c r="P26" s="3005"/>
      <c r="Q26" s="3005"/>
      <c r="R26" s="3005">
        <v>1213.94</v>
      </c>
      <c r="S26" s="3005">
        <v>435.56</v>
      </c>
      <c r="T26" s="3005"/>
      <c r="U26" s="3005">
        <f t="shared" si="0"/>
        <v>778.38000000000011</v>
      </c>
    </row>
    <row r="27" spans="1:21">
      <c r="A27" s="3031" t="s">
        <v>3102</v>
      </c>
      <c r="B27" s="3031" t="s">
        <v>3085</v>
      </c>
      <c r="C27" s="3031">
        <v>816.37</v>
      </c>
      <c r="D27" s="3032">
        <v>282.8</v>
      </c>
      <c r="E27" s="3032"/>
      <c r="F27" s="3032">
        <v>484.57</v>
      </c>
      <c r="G27" s="3032">
        <v>49</v>
      </c>
      <c r="H27" s="3032">
        <v>2</v>
      </c>
      <c r="I27" s="3032">
        <v>3</v>
      </c>
      <c r="J27" s="3032">
        <v>1</v>
      </c>
      <c r="K27" s="3032">
        <v>2</v>
      </c>
      <c r="L27" s="3005"/>
      <c r="M27" s="3045">
        <f t="shared" si="1"/>
        <v>817.45</v>
      </c>
      <c r="N27" s="3005" t="str">
        <f>N8</f>
        <v>封顶</v>
      </c>
      <c r="O27" s="3047">
        <f t="shared" si="2"/>
        <v>0.6</v>
      </c>
      <c r="P27" s="3005"/>
      <c r="Q27" s="3005"/>
      <c r="R27" s="3005">
        <v>817.45</v>
      </c>
      <c r="S27" s="3005">
        <v>282.56</v>
      </c>
      <c r="T27" s="3005"/>
      <c r="U27" s="3005">
        <f t="shared" si="0"/>
        <v>534.8900000000001</v>
      </c>
    </row>
    <row r="28" spans="1:21">
      <c r="A28" s="3031" t="s">
        <v>3067</v>
      </c>
      <c r="B28" s="3031" t="s">
        <v>3085</v>
      </c>
      <c r="C28" s="3031">
        <v>1626.24</v>
      </c>
      <c r="D28" s="3032">
        <v>564.07000000000005</v>
      </c>
      <c r="E28" s="3032"/>
      <c r="F28" s="3032">
        <v>964.17</v>
      </c>
      <c r="G28" s="3032">
        <v>98</v>
      </c>
      <c r="H28" s="3032">
        <v>2</v>
      </c>
      <c r="I28" s="3032">
        <v>3</v>
      </c>
      <c r="J28" s="3032">
        <v>1</v>
      </c>
      <c r="K28" s="3032">
        <v>4</v>
      </c>
      <c r="L28" s="3005"/>
      <c r="M28" s="3045">
        <f t="shared" si="1"/>
        <v>1629.12</v>
      </c>
      <c r="N28" s="3005" t="str">
        <f>N6</f>
        <v>地下3层</v>
      </c>
      <c r="O28" s="3047">
        <f t="shared" si="2"/>
        <v>0.2</v>
      </c>
      <c r="P28" s="3005"/>
      <c r="Q28" s="3005"/>
      <c r="R28" s="3005">
        <v>1629.12</v>
      </c>
      <c r="S28" s="3005">
        <v>563.59</v>
      </c>
      <c r="T28" s="3005"/>
      <c r="U28" s="3005">
        <f t="shared" si="0"/>
        <v>1065.5299999999997</v>
      </c>
    </row>
    <row r="29" spans="1:21">
      <c r="A29" s="3031" t="s">
        <v>3103</v>
      </c>
      <c r="B29" s="3031" t="s">
        <v>3085</v>
      </c>
      <c r="C29" s="3031">
        <v>1799.5</v>
      </c>
      <c r="D29" s="3032">
        <v>652</v>
      </c>
      <c r="E29" s="3032"/>
      <c r="F29" s="3032">
        <v>1000.5</v>
      </c>
      <c r="G29" s="3032">
        <v>147</v>
      </c>
      <c r="H29" s="3032">
        <v>2</v>
      </c>
      <c r="I29" s="3032">
        <v>3</v>
      </c>
      <c r="J29" s="3032">
        <v>1</v>
      </c>
      <c r="K29" s="3032">
        <v>6</v>
      </c>
      <c r="L29" s="3005"/>
      <c r="M29" s="3045">
        <f t="shared" si="1"/>
        <v>1815.68</v>
      </c>
      <c r="N29" s="3005" t="str">
        <f>N26</f>
        <v>坑基</v>
      </c>
      <c r="O29" s="3047">
        <f t="shared" si="2"/>
        <v>0.1</v>
      </c>
      <c r="P29" s="3005"/>
      <c r="Q29" s="3005"/>
      <c r="R29" s="3005">
        <v>1815.68</v>
      </c>
      <c r="S29" s="3005">
        <v>652.01</v>
      </c>
      <c r="T29" s="3005"/>
      <c r="U29" s="3005">
        <f t="shared" si="0"/>
        <v>1163.67</v>
      </c>
    </row>
    <row r="30" spans="1:21">
      <c r="A30" s="3031" t="s">
        <v>3068</v>
      </c>
      <c r="B30" s="3031" t="s">
        <v>3085</v>
      </c>
      <c r="C30" s="3031">
        <v>1799.5</v>
      </c>
      <c r="D30" s="3032">
        <v>652</v>
      </c>
      <c r="E30" s="3032"/>
      <c r="F30" s="3032">
        <v>1000.5</v>
      </c>
      <c r="G30" s="3032">
        <v>147</v>
      </c>
      <c r="H30" s="3032">
        <v>2</v>
      </c>
      <c r="I30" s="3032">
        <v>3</v>
      </c>
      <c r="J30" s="3032">
        <v>1</v>
      </c>
      <c r="K30" s="3032">
        <v>6</v>
      </c>
      <c r="L30" s="3005"/>
      <c r="M30" s="3045">
        <f t="shared" si="1"/>
        <v>1816.88</v>
      </c>
      <c r="N30" s="3005" t="str">
        <f>N6</f>
        <v>地下3层</v>
      </c>
      <c r="O30" s="3047">
        <f t="shared" si="2"/>
        <v>0.2</v>
      </c>
      <c r="P30" s="3005"/>
      <c r="Q30" s="3005"/>
      <c r="R30" s="3005">
        <v>1816.88</v>
      </c>
      <c r="S30" s="3005">
        <v>652.01</v>
      </c>
      <c r="T30" s="3005"/>
      <c r="U30" s="3005">
        <f t="shared" si="0"/>
        <v>1164.8700000000001</v>
      </c>
    </row>
    <row r="31" spans="1:21">
      <c r="A31" s="3031" t="s">
        <v>3104</v>
      </c>
      <c r="B31" s="3031" t="s">
        <v>3085</v>
      </c>
      <c r="C31" s="3031">
        <v>922.90000000000009</v>
      </c>
      <c r="D31" s="3032">
        <v>337.54</v>
      </c>
      <c r="E31" s="3032"/>
      <c r="F31" s="3032">
        <v>511.86</v>
      </c>
      <c r="G31" s="3032">
        <v>73.5</v>
      </c>
      <c r="H31" s="3032">
        <v>2</v>
      </c>
      <c r="I31" s="3032">
        <v>3</v>
      </c>
      <c r="J31" s="3032">
        <v>1</v>
      </c>
      <c r="K31" s="3032">
        <v>3</v>
      </c>
      <c r="L31" s="3005"/>
      <c r="M31" s="3045">
        <f t="shared" si="1"/>
        <v>931.22</v>
      </c>
      <c r="N31" s="3005" t="str">
        <f>N6</f>
        <v>地下3层</v>
      </c>
      <c r="O31" s="3047">
        <f t="shared" si="2"/>
        <v>0.2</v>
      </c>
      <c r="P31" s="3005"/>
      <c r="Q31" s="3005"/>
      <c r="R31" s="3005">
        <v>931.22</v>
      </c>
      <c r="S31" s="3005">
        <v>337.54</v>
      </c>
      <c r="T31" s="3005"/>
      <c r="U31" s="3005">
        <f t="shared" si="0"/>
        <v>593.68000000000006</v>
      </c>
    </row>
    <row r="32" spans="1:21">
      <c r="A32" s="3031" t="s">
        <v>3069</v>
      </c>
      <c r="B32" s="3031" t="s">
        <v>3085</v>
      </c>
      <c r="C32" s="3031">
        <v>922.90000000000009</v>
      </c>
      <c r="D32" s="3032">
        <v>337.54</v>
      </c>
      <c r="E32" s="3032"/>
      <c r="F32" s="3032">
        <v>511.86</v>
      </c>
      <c r="G32" s="3032">
        <v>73.5</v>
      </c>
      <c r="H32" s="3032">
        <v>2</v>
      </c>
      <c r="I32" s="3032">
        <v>3</v>
      </c>
      <c r="J32" s="3032">
        <v>1</v>
      </c>
      <c r="K32" s="3032">
        <v>3</v>
      </c>
      <c r="L32" s="3005"/>
      <c r="M32" s="3045">
        <f t="shared" si="1"/>
        <v>930.61</v>
      </c>
      <c r="N32" s="3005" t="str">
        <f>$N$29</f>
        <v>坑基</v>
      </c>
      <c r="O32" s="3047">
        <f t="shared" si="2"/>
        <v>0.1</v>
      </c>
      <c r="P32" s="3005"/>
      <c r="Q32" s="3005"/>
      <c r="R32" s="3005">
        <v>930.61</v>
      </c>
      <c r="S32" s="3005">
        <v>337.54</v>
      </c>
      <c r="T32" s="3005"/>
      <c r="U32" s="3005">
        <f t="shared" ref="U32:U85" si="3">R32-S32</f>
        <v>593.06999999999994</v>
      </c>
    </row>
    <row r="33" spans="1:21">
      <c r="A33" s="3031" t="s">
        <v>3105</v>
      </c>
      <c r="B33" s="3031" t="s">
        <v>3085</v>
      </c>
      <c r="C33" s="3031">
        <v>1799.5</v>
      </c>
      <c r="D33" s="3032">
        <v>652</v>
      </c>
      <c r="E33" s="3032"/>
      <c r="F33" s="3032">
        <v>1000.5</v>
      </c>
      <c r="G33" s="3032">
        <v>147</v>
      </c>
      <c r="H33" s="3032">
        <v>2</v>
      </c>
      <c r="I33" s="3032">
        <v>3</v>
      </c>
      <c r="J33" s="3032">
        <v>1</v>
      </c>
      <c r="K33" s="3032">
        <v>6</v>
      </c>
      <c r="L33" s="3005"/>
      <c r="M33" s="3045">
        <f t="shared" si="1"/>
        <v>1816.88</v>
      </c>
      <c r="N33" s="3005" t="str">
        <f t="shared" ref="N33:N41" si="4">$N$29</f>
        <v>坑基</v>
      </c>
      <c r="O33" s="3047">
        <f t="shared" si="2"/>
        <v>0.1</v>
      </c>
      <c r="P33" s="3005"/>
      <c r="Q33" s="3005"/>
      <c r="R33" s="3005">
        <v>1816.88</v>
      </c>
      <c r="S33" s="3005">
        <v>652.01</v>
      </c>
      <c r="T33" s="3005"/>
      <c r="U33" s="3005">
        <f t="shared" si="3"/>
        <v>1164.8700000000001</v>
      </c>
    </row>
    <row r="34" spans="1:21">
      <c r="A34" s="3031" t="s">
        <v>3106</v>
      </c>
      <c r="B34" s="3031" t="s">
        <v>3085</v>
      </c>
      <c r="C34" s="3031">
        <v>1799.5</v>
      </c>
      <c r="D34" s="3032">
        <v>652</v>
      </c>
      <c r="E34" s="3032"/>
      <c r="F34" s="3032">
        <v>1000.5</v>
      </c>
      <c r="G34" s="3032">
        <v>147</v>
      </c>
      <c r="H34" s="3032">
        <v>2</v>
      </c>
      <c r="I34" s="3032">
        <v>3</v>
      </c>
      <c r="J34" s="3032">
        <v>1</v>
      </c>
      <c r="K34" s="3032">
        <v>6</v>
      </c>
      <c r="L34" s="3005"/>
      <c r="M34" s="3045">
        <f t="shared" si="1"/>
        <v>1816.32</v>
      </c>
      <c r="N34" s="3005" t="str">
        <f t="shared" si="4"/>
        <v>坑基</v>
      </c>
      <c r="O34" s="3047">
        <f t="shared" si="2"/>
        <v>0.1</v>
      </c>
      <c r="P34" s="3005"/>
      <c r="Q34" s="3005"/>
      <c r="R34" s="3005">
        <v>1816.32</v>
      </c>
      <c r="S34" s="3005">
        <v>652.01</v>
      </c>
      <c r="T34" s="3005"/>
      <c r="U34" s="3005">
        <f t="shared" si="3"/>
        <v>1164.31</v>
      </c>
    </row>
    <row r="35" spans="1:21">
      <c r="A35" s="3031" t="s">
        <v>3070</v>
      </c>
      <c r="B35" s="3031" t="s">
        <v>3085</v>
      </c>
      <c r="C35" s="3031">
        <v>1799.5</v>
      </c>
      <c r="D35" s="3032">
        <v>652</v>
      </c>
      <c r="E35" s="3032"/>
      <c r="F35" s="3032">
        <v>1000.5</v>
      </c>
      <c r="G35" s="3032">
        <v>147</v>
      </c>
      <c r="H35" s="3032">
        <v>2</v>
      </c>
      <c r="I35" s="3032">
        <v>3</v>
      </c>
      <c r="J35" s="3032">
        <v>1</v>
      </c>
      <c r="K35" s="3032">
        <v>6</v>
      </c>
      <c r="L35" s="3005"/>
      <c r="M35" s="3045">
        <f t="shared" si="1"/>
        <v>1816.04</v>
      </c>
      <c r="N35" s="3005" t="str">
        <f t="shared" si="4"/>
        <v>坑基</v>
      </c>
      <c r="O35" s="3047">
        <f t="shared" si="2"/>
        <v>0.1</v>
      </c>
      <c r="P35" s="3005"/>
      <c r="Q35" s="3005"/>
      <c r="R35" s="3005">
        <v>1816.04</v>
      </c>
      <c r="S35" s="3005">
        <v>652.01</v>
      </c>
      <c r="T35" s="3005"/>
      <c r="U35" s="3005">
        <f t="shared" si="3"/>
        <v>1164.03</v>
      </c>
    </row>
    <row r="36" spans="1:21">
      <c r="A36" s="3031" t="s">
        <v>3107</v>
      </c>
      <c r="B36" s="3031" t="s">
        <v>3085</v>
      </c>
      <c r="C36" s="3031">
        <v>1511.08</v>
      </c>
      <c r="D36" s="3032">
        <v>547.6</v>
      </c>
      <c r="E36" s="3032"/>
      <c r="F36" s="3032">
        <v>840.98</v>
      </c>
      <c r="G36" s="3032">
        <v>122.5</v>
      </c>
      <c r="H36" s="3032">
        <v>2</v>
      </c>
      <c r="I36" s="3032">
        <v>3</v>
      </c>
      <c r="J36" s="3032">
        <v>1</v>
      </c>
      <c r="K36" s="3032">
        <v>5</v>
      </c>
      <c r="L36" s="3005"/>
      <c r="M36" s="3045">
        <f t="shared" si="1"/>
        <v>1525.08</v>
      </c>
      <c r="N36" s="3005" t="str">
        <f t="shared" si="4"/>
        <v>坑基</v>
      </c>
      <c r="O36" s="3047">
        <f t="shared" si="2"/>
        <v>0.1</v>
      </c>
      <c r="P36" s="3005"/>
      <c r="Q36" s="3005"/>
      <c r="R36" s="3005">
        <v>1525.08</v>
      </c>
      <c r="S36" s="3005">
        <v>547.61</v>
      </c>
      <c r="T36" s="3005"/>
      <c r="U36" s="3005">
        <f t="shared" si="3"/>
        <v>977.46999999999991</v>
      </c>
    </row>
    <row r="37" spans="1:21">
      <c r="A37" s="3031" t="s">
        <v>3108</v>
      </c>
      <c r="B37" s="3031" t="s">
        <v>3085</v>
      </c>
      <c r="C37" s="3031">
        <v>1509.47</v>
      </c>
      <c r="D37" s="3032">
        <v>547.6</v>
      </c>
      <c r="E37" s="3032"/>
      <c r="F37" s="3032">
        <v>839.37</v>
      </c>
      <c r="G37" s="3032">
        <v>122.5</v>
      </c>
      <c r="H37" s="3032">
        <v>2</v>
      </c>
      <c r="I37" s="3032">
        <v>3</v>
      </c>
      <c r="J37" s="3032">
        <v>1</v>
      </c>
      <c r="K37" s="3032">
        <v>5</v>
      </c>
      <c r="L37" s="3005"/>
      <c r="M37" s="3045">
        <f t="shared" si="1"/>
        <v>1523.29</v>
      </c>
      <c r="N37" s="3005" t="str">
        <f t="shared" si="4"/>
        <v>坑基</v>
      </c>
      <c r="O37" s="3047">
        <f t="shared" si="2"/>
        <v>0.1</v>
      </c>
      <c r="P37" s="3005"/>
      <c r="Q37" s="3005"/>
      <c r="R37" s="3005">
        <v>1523.29</v>
      </c>
      <c r="S37" s="3005">
        <v>547.61</v>
      </c>
      <c r="T37" s="3005"/>
      <c r="U37" s="3005">
        <f t="shared" si="3"/>
        <v>975.68</v>
      </c>
    </row>
    <row r="38" spans="1:21">
      <c r="A38" s="3031" t="s">
        <v>3071</v>
      </c>
      <c r="B38" s="3031" t="s">
        <v>3085</v>
      </c>
      <c r="C38" s="3031">
        <v>1799.5</v>
      </c>
      <c r="D38" s="3032">
        <v>652</v>
      </c>
      <c r="E38" s="3032"/>
      <c r="F38" s="3032">
        <v>1000.5</v>
      </c>
      <c r="G38" s="3032">
        <v>147</v>
      </c>
      <c r="H38" s="3032">
        <v>2</v>
      </c>
      <c r="I38" s="3032">
        <v>3</v>
      </c>
      <c r="J38" s="3032">
        <v>1</v>
      </c>
      <c r="K38" s="3032">
        <v>6</v>
      </c>
      <c r="L38" s="3005"/>
      <c r="M38" s="3045">
        <f t="shared" si="1"/>
        <v>1815.68</v>
      </c>
      <c r="N38" s="3005" t="str">
        <f t="shared" si="4"/>
        <v>坑基</v>
      </c>
      <c r="O38" s="3047">
        <f t="shared" si="2"/>
        <v>0.1</v>
      </c>
      <c r="P38" s="3005"/>
      <c r="Q38" s="3005"/>
      <c r="R38" s="3005">
        <v>1815.68</v>
      </c>
      <c r="S38" s="3005">
        <v>652.01</v>
      </c>
      <c r="T38" s="3005"/>
      <c r="U38" s="3005">
        <f t="shared" si="3"/>
        <v>1163.67</v>
      </c>
    </row>
    <row r="39" spans="1:21">
      <c r="A39" s="3031" t="s">
        <v>3109</v>
      </c>
      <c r="B39" s="3031" t="s">
        <v>3085</v>
      </c>
      <c r="C39" s="3031">
        <v>1799.5</v>
      </c>
      <c r="D39" s="3032">
        <v>652</v>
      </c>
      <c r="E39" s="3032"/>
      <c r="F39" s="3032">
        <v>1000.5</v>
      </c>
      <c r="G39" s="3032">
        <v>147</v>
      </c>
      <c r="H39" s="3032">
        <v>2</v>
      </c>
      <c r="I39" s="3032">
        <v>3</v>
      </c>
      <c r="J39" s="3032">
        <v>1</v>
      </c>
      <c r="K39" s="3032">
        <v>6</v>
      </c>
      <c r="L39" s="3005"/>
      <c r="M39" s="3045">
        <f t="shared" si="1"/>
        <v>1815.68</v>
      </c>
      <c r="N39" s="3005" t="str">
        <f t="shared" si="4"/>
        <v>坑基</v>
      </c>
      <c r="O39" s="3047">
        <f t="shared" si="2"/>
        <v>0.1</v>
      </c>
      <c r="P39" s="3005"/>
      <c r="Q39" s="3005"/>
      <c r="R39" s="3005">
        <v>1815.68</v>
      </c>
      <c r="S39" s="3005">
        <v>652.01</v>
      </c>
      <c r="T39" s="3005"/>
      <c r="U39" s="3005">
        <f t="shared" si="3"/>
        <v>1163.67</v>
      </c>
    </row>
    <row r="40" spans="1:21">
      <c r="A40" s="3031" t="s">
        <v>3110</v>
      </c>
      <c r="B40" s="3031" t="s">
        <v>3085</v>
      </c>
      <c r="C40" s="3031">
        <v>1799.5</v>
      </c>
      <c r="D40" s="3032">
        <v>652</v>
      </c>
      <c r="E40" s="3032"/>
      <c r="F40" s="3032">
        <v>1000.5</v>
      </c>
      <c r="G40" s="3032">
        <v>147</v>
      </c>
      <c r="H40" s="3032">
        <v>2</v>
      </c>
      <c r="I40" s="3032">
        <v>3</v>
      </c>
      <c r="J40" s="3032">
        <v>1</v>
      </c>
      <c r="K40" s="3032">
        <v>6</v>
      </c>
      <c r="L40" s="3005"/>
      <c r="M40" s="3045">
        <f t="shared" si="1"/>
        <v>1817.52</v>
      </c>
      <c r="N40" s="3005" t="str">
        <f t="shared" si="4"/>
        <v>坑基</v>
      </c>
      <c r="O40" s="3047">
        <f t="shared" si="2"/>
        <v>0.1</v>
      </c>
      <c r="P40" s="3005"/>
      <c r="Q40" s="3005"/>
      <c r="R40" s="3005">
        <v>1817.52</v>
      </c>
      <c r="S40" s="3005">
        <v>652.01</v>
      </c>
      <c r="T40" s="3005"/>
      <c r="U40" s="3005">
        <f t="shared" si="3"/>
        <v>1165.51</v>
      </c>
    </row>
    <row r="41" spans="1:21">
      <c r="A41" s="3031" t="s">
        <v>3072</v>
      </c>
      <c r="B41" s="3031" t="s">
        <v>3085</v>
      </c>
      <c r="C41" s="3031">
        <v>1510.45</v>
      </c>
      <c r="D41" s="3032">
        <v>547.6</v>
      </c>
      <c r="E41" s="3032"/>
      <c r="F41" s="3032">
        <v>840.35</v>
      </c>
      <c r="G41" s="3032">
        <v>122.5</v>
      </c>
      <c r="H41" s="3032">
        <v>2</v>
      </c>
      <c r="I41" s="3032">
        <v>3</v>
      </c>
      <c r="J41" s="3032">
        <v>1</v>
      </c>
      <c r="K41" s="3032">
        <v>5</v>
      </c>
      <c r="L41" s="3005"/>
      <c r="M41" s="3045">
        <f t="shared" si="1"/>
        <v>1524.39</v>
      </c>
      <c r="N41" s="3005" t="str">
        <f t="shared" si="4"/>
        <v>坑基</v>
      </c>
      <c r="O41" s="3047">
        <f t="shared" si="2"/>
        <v>0.1</v>
      </c>
      <c r="P41" s="3005"/>
      <c r="Q41" s="3005"/>
      <c r="R41" s="3005">
        <v>1524.39</v>
      </c>
      <c r="S41" s="3005">
        <v>547.61</v>
      </c>
      <c r="T41" s="3005"/>
      <c r="U41" s="3005">
        <f t="shared" si="3"/>
        <v>976.78000000000009</v>
      </c>
    </row>
    <row r="42" spans="1:21">
      <c r="A42" s="3031" t="s">
        <v>3111</v>
      </c>
      <c r="B42" s="3031" t="s">
        <v>3085</v>
      </c>
      <c r="C42" s="3031">
        <v>1799.5</v>
      </c>
      <c r="D42" s="3032">
        <v>652</v>
      </c>
      <c r="E42" s="3032"/>
      <c r="F42" s="3032">
        <v>1000.5</v>
      </c>
      <c r="G42" s="3032">
        <v>147</v>
      </c>
      <c r="H42" s="3032">
        <v>2</v>
      </c>
      <c r="I42" s="3032">
        <v>3</v>
      </c>
      <c r="J42" s="3032">
        <v>1</v>
      </c>
      <c r="K42" s="3032">
        <v>6</v>
      </c>
      <c r="L42" s="3005"/>
      <c r="M42" s="3045">
        <f t="shared" si="1"/>
        <v>1816.32</v>
      </c>
      <c r="N42" s="3005" t="str">
        <f>N28</f>
        <v>地下3层</v>
      </c>
      <c r="O42" s="3047">
        <f t="shared" si="2"/>
        <v>0.2</v>
      </c>
      <c r="P42" s="3005"/>
      <c r="Q42" s="3005"/>
      <c r="R42" s="3005">
        <v>1816.32</v>
      </c>
      <c r="S42" s="3005">
        <v>652.01</v>
      </c>
      <c r="T42" s="3005"/>
      <c r="U42" s="3005">
        <f t="shared" si="3"/>
        <v>1164.31</v>
      </c>
    </row>
    <row r="43" spans="1:21">
      <c r="A43" s="3031" t="s">
        <v>3112</v>
      </c>
      <c r="B43" s="3031" t="s">
        <v>3085</v>
      </c>
      <c r="C43" s="3031">
        <v>1799.5</v>
      </c>
      <c r="D43" s="3032">
        <v>652</v>
      </c>
      <c r="E43" s="3032"/>
      <c r="F43" s="3032">
        <v>1000.5</v>
      </c>
      <c r="G43" s="3032">
        <v>147</v>
      </c>
      <c r="H43" s="3032">
        <v>2</v>
      </c>
      <c r="I43" s="3032">
        <v>3</v>
      </c>
      <c r="J43" s="3032">
        <v>1</v>
      </c>
      <c r="K43" s="3032">
        <v>6</v>
      </c>
      <c r="L43" s="3005"/>
      <c r="M43" s="3045">
        <f t="shared" si="1"/>
        <v>1816.32</v>
      </c>
      <c r="N43" s="3005" t="str">
        <f>N28</f>
        <v>地下3层</v>
      </c>
      <c r="O43" s="3047">
        <f t="shared" si="2"/>
        <v>0.2</v>
      </c>
      <c r="P43" s="3005"/>
      <c r="Q43" s="3005"/>
      <c r="R43" s="3005">
        <v>1816.32</v>
      </c>
      <c r="S43" s="3005">
        <v>652.01</v>
      </c>
      <c r="T43" s="3005"/>
      <c r="U43" s="3005">
        <f t="shared" si="3"/>
        <v>1164.31</v>
      </c>
    </row>
    <row r="44" spans="1:21">
      <c r="A44" s="3031" t="s">
        <v>3113</v>
      </c>
      <c r="B44" s="3031" t="s">
        <v>3085</v>
      </c>
      <c r="C44" s="3031">
        <v>1799.5</v>
      </c>
      <c r="D44" s="3032">
        <v>652</v>
      </c>
      <c r="E44" s="3032"/>
      <c r="F44" s="3032">
        <v>1000.5</v>
      </c>
      <c r="G44" s="3032">
        <v>147</v>
      </c>
      <c r="H44" s="3032">
        <v>2</v>
      </c>
      <c r="I44" s="3032">
        <v>3</v>
      </c>
      <c r="J44" s="3032">
        <v>1</v>
      </c>
      <c r="K44" s="3032">
        <v>6</v>
      </c>
      <c r="L44" s="3005"/>
      <c r="M44" s="3045">
        <f t="shared" si="1"/>
        <v>1816.88</v>
      </c>
      <c r="N44" s="3005" t="str">
        <f>N28</f>
        <v>地下3层</v>
      </c>
      <c r="O44" s="3047">
        <f t="shared" si="2"/>
        <v>0.2</v>
      </c>
      <c r="P44" s="3005"/>
      <c r="Q44" s="3005"/>
      <c r="R44" s="3005">
        <v>1816.88</v>
      </c>
      <c r="S44" s="3005">
        <v>652.01</v>
      </c>
      <c r="T44" s="3005"/>
      <c r="U44" s="3005">
        <f t="shared" si="3"/>
        <v>1164.8700000000001</v>
      </c>
    </row>
    <row r="45" spans="1:21">
      <c r="A45" s="3031" t="s">
        <v>3114</v>
      </c>
      <c r="B45" s="3031" t="s">
        <v>3085</v>
      </c>
      <c r="C45" s="3031">
        <v>1799.5</v>
      </c>
      <c r="D45" s="3032">
        <v>652</v>
      </c>
      <c r="E45" s="3032"/>
      <c r="F45" s="3032">
        <v>1000.5</v>
      </c>
      <c r="G45" s="3032">
        <v>147</v>
      </c>
      <c r="H45" s="3032">
        <v>2</v>
      </c>
      <c r="I45" s="3032">
        <v>3</v>
      </c>
      <c r="J45" s="3032">
        <v>1</v>
      </c>
      <c r="K45" s="3032">
        <v>6</v>
      </c>
      <c r="L45" s="3005"/>
      <c r="M45" s="3045">
        <f t="shared" si="1"/>
        <v>1816.88</v>
      </c>
      <c r="N45" s="3005" t="str">
        <f>$N$29</f>
        <v>坑基</v>
      </c>
      <c r="O45" s="3047">
        <f t="shared" si="2"/>
        <v>0.1</v>
      </c>
      <c r="P45" s="3005"/>
      <c r="Q45" s="3005"/>
      <c r="R45" s="3005">
        <v>1816.88</v>
      </c>
      <c r="S45" s="3005">
        <v>652.01</v>
      </c>
      <c r="T45" s="3005"/>
      <c r="U45" s="3005">
        <f t="shared" si="3"/>
        <v>1164.8700000000001</v>
      </c>
    </row>
    <row r="46" spans="1:21">
      <c r="A46" s="3031" t="s">
        <v>3115</v>
      </c>
      <c r="B46" s="3031" t="s">
        <v>3085</v>
      </c>
      <c r="C46" s="3031">
        <v>1799.5</v>
      </c>
      <c r="D46" s="3032">
        <v>652</v>
      </c>
      <c r="E46" s="3032"/>
      <c r="F46" s="3032">
        <v>1000.5</v>
      </c>
      <c r="G46" s="3032">
        <v>147</v>
      </c>
      <c r="H46" s="3032">
        <v>2</v>
      </c>
      <c r="I46" s="3032">
        <v>3</v>
      </c>
      <c r="J46" s="3032">
        <v>1</v>
      </c>
      <c r="K46" s="3032">
        <v>6</v>
      </c>
      <c r="L46" s="3005"/>
      <c r="M46" s="3045">
        <f t="shared" si="1"/>
        <v>1815.68</v>
      </c>
      <c r="N46" s="3005" t="str">
        <f t="shared" ref="N46:N50" si="5">$N$29</f>
        <v>坑基</v>
      </c>
      <c r="O46" s="3047">
        <f t="shared" si="2"/>
        <v>0.1</v>
      </c>
      <c r="P46" s="3005"/>
      <c r="Q46" s="3005"/>
      <c r="R46" s="3005">
        <v>1815.68</v>
      </c>
      <c r="S46" s="3005">
        <v>652.01</v>
      </c>
      <c r="T46" s="3005"/>
      <c r="U46" s="3005">
        <f t="shared" si="3"/>
        <v>1163.67</v>
      </c>
    </row>
    <row r="47" spans="1:21">
      <c r="A47" s="3031" t="s">
        <v>3116</v>
      </c>
      <c r="B47" s="3031" t="s">
        <v>3085</v>
      </c>
      <c r="C47" s="3031">
        <v>1202.82</v>
      </c>
      <c r="D47" s="3032">
        <v>435.55</v>
      </c>
      <c r="E47" s="3032"/>
      <c r="F47" s="3032">
        <v>669.27</v>
      </c>
      <c r="G47" s="3032">
        <v>98</v>
      </c>
      <c r="H47" s="3032">
        <v>2</v>
      </c>
      <c r="I47" s="3032">
        <v>3</v>
      </c>
      <c r="J47" s="3032">
        <v>1</v>
      </c>
      <c r="K47" s="3032">
        <v>4</v>
      </c>
      <c r="L47" s="3005"/>
      <c r="M47" s="3045">
        <f t="shared" si="1"/>
        <v>1213.4000000000001</v>
      </c>
      <c r="N47" s="3005" t="str">
        <f t="shared" si="5"/>
        <v>坑基</v>
      </c>
      <c r="O47" s="3047">
        <f t="shared" si="2"/>
        <v>0.1</v>
      </c>
      <c r="P47" s="3005"/>
      <c r="Q47" s="3005"/>
      <c r="R47" s="3005">
        <v>1213.4000000000001</v>
      </c>
      <c r="S47" s="3005">
        <v>435.56</v>
      </c>
      <c r="T47" s="3005"/>
      <c r="U47" s="3005">
        <f t="shared" si="3"/>
        <v>777.84000000000015</v>
      </c>
    </row>
    <row r="48" spans="1:21">
      <c r="A48" s="3031" t="s">
        <v>3117</v>
      </c>
      <c r="B48" s="3031" t="s">
        <v>3085</v>
      </c>
      <c r="C48" s="3031">
        <v>1229.8400000000001</v>
      </c>
      <c r="D48" s="3032">
        <v>449.6</v>
      </c>
      <c r="E48" s="3032"/>
      <c r="F48" s="3032">
        <v>682.24</v>
      </c>
      <c r="G48" s="3032">
        <v>98</v>
      </c>
      <c r="H48" s="3032">
        <v>2</v>
      </c>
      <c r="I48" s="3032">
        <v>3</v>
      </c>
      <c r="J48" s="3032">
        <v>1</v>
      </c>
      <c r="K48" s="3032">
        <v>4</v>
      </c>
      <c r="L48" s="3005"/>
      <c r="M48" s="3045">
        <f t="shared" si="1"/>
        <v>1240.74</v>
      </c>
      <c r="N48" s="3005" t="str">
        <f t="shared" si="5"/>
        <v>坑基</v>
      </c>
      <c r="O48" s="3047">
        <f t="shared" si="2"/>
        <v>0.1</v>
      </c>
      <c r="P48" s="3005"/>
      <c r="Q48" s="3005"/>
      <c r="R48" s="3005">
        <v>1240.74</v>
      </c>
      <c r="S48" s="3005">
        <v>449.59</v>
      </c>
      <c r="T48" s="3005"/>
      <c r="U48" s="3005">
        <f t="shared" si="3"/>
        <v>791.15000000000009</v>
      </c>
    </row>
    <row r="49" spans="1:21">
      <c r="A49" s="3031" t="s">
        <v>3118</v>
      </c>
      <c r="B49" s="3031" t="s">
        <v>3085</v>
      </c>
      <c r="C49" s="3031">
        <v>1799.5</v>
      </c>
      <c r="D49" s="3032">
        <v>652</v>
      </c>
      <c r="E49" s="3032"/>
      <c r="F49" s="3032">
        <v>1000.5</v>
      </c>
      <c r="G49" s="3032">
        <v>147</v>
      </c>
      <c r="H49" s="3032">
        <v>2</v>
      </c>
      <c r="I49" s="3032">
        <v>3</v>
      </c>
      <c r="J49" s="3032">
        <v>1</v>
      </c>
      <c r="K49" s="3032">
        <v>6</v>
      </c>
      <c r="L49" s="3005"/>
      <c r="M49" s="3045">
        <f t="shared" si="1"/>
        <v>1816.32</v>
      </c>
      <c r="N49" s="3005" t="str">
        <f t="shared" si="5"/>
        <v>坑基</v>
      </c>
      <c r="O49" s="3047">
        <f t="shared" si="2"/>
        <v>0.1</v>
      </c>
      <c r="P49" s="3005"/>
      <c r="Q49" s="3005"/>
      <c r="R49" s="3005">
        <v>1816.32</v>
      </c>
      <c r="S49" s="3005">
        <v>652.01</v>
      </c>
      <c r="T49" s="3005"/>
      <c r="U49" s="3005">
        <f t="shared" si="3"/>
        <v>1164.31</v>
      </c>
    </row>
    <row r="50" spans="1:21">
      <c r="A50" s="3031" t="s">
        <v>3119</v>
      </c>
      <c r="B50" s="3031" t="s">
        <v>3085</v>
      </c>
      <c r="C50" s="3031">
        <v>1229.8400000000001</v>
      </c>
      <c r="D50" s="3032">
        <v>449.6</v>
      </c>
      <c r="E50" s="3032"/>
      <c r="F50" s="3032">
        <v>682.24</v>
      </c>
      <c r="G50" s="3032">
        <v>98</v>
      </c>
      <c r="H50" s="3032">
        <v>2</v>
      </c>
      <c r="I50" s="3032">
        <v>3</v>
      </c>
      <c r="J50" s="3032">
        <v>1</v>
      </c>
      <c r="K50" s="3032">
        <v>4</v>
      </c>
      <c r="L50" s="3005"/>
      <c r="M50" s="3045">
        <f t="shared" si="1"/>
        <v>1240.81</v>
      </c>
      <c r="N50" s="3005" t="str">
        <f t="shared" si="5"/>
        <v>坑基</v>
      </c>
      <c r="O50" s="3047">
        <f t="shared" si="2"/>
        <v>0.1</v>
      </c>
      <c r="P50" s="3005"/>
      <c r="Q50" s="3005"/>
      <c r="R50" s="3005">
        <v>1240.81</v>
      </c>
      <c r="S50" s="3005">
        <v>449.59</v>
      </c>
      <c r="T50" s="3005"/>
      <c r="U50" s="3005">
        <f t="shared" si="3"/>
        <v>791.22</v>
      </c>
    </row>
    <row r="51" spans="1:21">
      <c r="A51" s="3031" t="s">
        <v>3120</v>
      </c>
      <c r="B51" s="3031" t="s">
        <v>3085</v>
      </c>
      <c r="C51" s="3031">
        <v>2397.12</v>
      </c>
      <c r="D51" s="3032">
        <v>868.45</v>
      </c>
      <c r="E51" s="3032"/>
      <c r="F51" s="3032">
        <v>1332.67</v>
      </c>
      <c r="G51" s="3032">
        <v>196</v>
      </c>
      <c r="H51" s="3032">
        <v>2</v>
      </c>
      <c r="I51" s="3032">
        <v>3</v>
      </c>
      <c r="J51" s="3032">
        <v>1</v>
      </c>
      <c r="K51" s="3032">
        <v>8</v>
      </c>
      <c r="L51" s="3005"/>
      <c r="M51" s="3045">
        <f t="shared" si="1"/>
        <v>2418.6799999999998</v>
      </c>
      <c r="N51" s="3045" t="s">
        <v>3336</v>
      </c>
      <c r="O51" s="3047">
        <f t="shared" si="2"/>
        <v>0.25</v>
      </c>
      <c r="P51" s="3005"/>
      <c r="Q51" s="3005"/>
      <c r="R51" s="3005">
        <v>2418.6799999999998</v>
      </c>
      <c r="S51" s="3005">
        <v>868.47</v>
      </c>
      <c r="T51" s="3005"/>
      <c r="U51" s="3005">
        <f t="shared" si="3"/>
        <v>1550.2099999999998</v>
      </c>
    </row>
    <row r="52" spans="1:21">
      <c r="A52" s="3031" t="s">
        <v>3121</v>
      </c>
      <c r="B52" s="3031" t="s">
        <v>3085</v>
      </c>
      <c r="C52" s="3031">
        <v>1799.5</v>
      </c>
      <c r="D52" s="3032">
        <v>652</v>
      </c>
      <c r="E52" s="3032"/>
      <c r="F52" s="3032">
        <v>1000.5</v>
      </c>
      <c r="G52" s="3032">
        <v>147</v>
      </c>
      <c r="H52" s="3032">
        <v>2</v>
      </c>
      <c r="I52" s="3032">
        <v>3</v>
      </c>
      <c r="J52" s="3032">
        <v>1</v>
      </c>
      <c r="K52" s="3032">
        <v>6</v>
      </c>
      <c r="L52" s="3005"/>
      <c r="M52" s="3045">
        <f t="shared" si="1"/>
        <v>1815.68</v>
      </c>
      <c r="N52" s="3005" t="str">
        <f>N8</f>
        <v>封顶</v>
      </c>
      <c r="O52" s="3047">
        <f t="shared" si="2"/>
        <v>0.6</v>
      </c>
      <c r="P52" s="3005"/>
      <c r="Q52" s="3005"/>
      <c r="R52" s="3005">
        <v>1815.68</v>
      </c>
      <c r="S52" s="3005">
        <v>652.01</v>
      </c>
      <c r="T52" s="3005"/>
      <c r="U52" s="3005">
        <f t="shared" si="3"/>
        <v>1163.67</v>
      </c>
    </row>
    <row r="53" spans="1:21">
      <c r="A53" s="3031" t="s">
        <v>3122</v>
      </c>
      <c r="B53" s="3031" t="s">
        <v>3085</v>
      </c>
      <c r="C53" s="3031">
        <v>1799.5</v>
      </c>
      <c r="D53" s="3032">
        <v>652</v>
      </c>
      <c r="E53" s="3032"/>
      <c r="F53" s="3032">
        <v>1000.5</v>
      </c>
      <c r="G53" s="3032">
        <v>147</v>
      </c>
      <c r="H53" s="3032">
        <v>2</v>
      </c>
      <c r="I53" s="3032">
        <v>3</v>
      </c>
      <c r="J53" s="3032">
        <v>1</v>
      </c>
      <c r="K53" s="3032">
        <v>6</v>
      </c>
      <c r="L53" s="3005"/>
      <c r="M53" s="3045">
        <f t="shared" si="1"/>
        <v>1815.68</v>
      </c>
      <c r="N53" s="3005" t="str">
        <f>N8</f>
        <v>封顶</v>
      </c>
      <c r="O53" s="3047">
        <f t="shared" si="2"/>
        <v>0.6</v>
      </c>
      <c r="P53" s="3005"/>
      <c r="Q53" s="3005"/>
      <c r="R53" s="3005">
        <v>1815.68</v>
      </c>
      <c r="S53" s="3005">
        <v>652.01</v>
      </c>
      <c r="T53" s="3005"/>
      <c r="U53" s="3005">
        <f t="shared" si="3"/>
        <v>1163.67</v>
      </c>
    </row>
    <row r="54" spans="1:21">
      <c r="A54" s="3031" t="s">
        <v>3123</v>
      </c>
      <c r="B54" s="3031" t="s">
        <v>3085</v>
      </c>
      <c r="C54" s="3031">
        <v>2397.12</v>
      </c>
      <c r="D54" s="3032">
        <v>868.45</v>
      </c>
      <c r="E54" s="3032"/>
      <c r="F54" s="3032">
        <v>1332.67</v>
      </c>
      <c r="G54" s="3032">
        <v>196</v>
      </c>
      <c r="H54" s="3032">
        <v>2</v>
      </c>
      <c r="I54" s="3032">
        <v>3</v>
      </c>
      <c r="J54" s="3032">
        <v>1</v>
      </c>
      <c r="K54" s="3032">
        <v>8</v>
      </c>
      <c r="L54" s="3005"/>
      <c r="M54" s="3045">
        <f t="shared" si="1"/>
        <v>2419.2399999999998</v>
      </c>
      <c r="N54" s="3045" t="s">
        <v>3335</v>
      </c>
      <c r="O54" s="3047">
        <f t="shared" si="2"/>
        <v>0.3</v>
      </c>
      <c r="P54" s="3005"/>
      <c r="Q54" s="3005"/>
      <c r="R54" s="3005">
        <v>2419.2399999999998</v>
      </c>
      <c r="S54" s="3005">
        <v>868.47</v>
      </c>
      <c r="T54" s="3005"/>
      <c r="U54" s="3005">
        <f t="shared" si="3"/>
        <v>1550.7699999999998</v>
      </c>
    </row>
    <row r="55" spans="1:21">
      <c r="A55" s="3031" t="s">
        <v>3124</v>
      </c>
      <c r="B55" s="3031" t="s">
        <v>3085</v>
      </c>
      <c r="C55" s="3031">
        <v>2397.12</v>
      </c>
      <c r="D55" s="3032">
        <v>868.45</v>
      </c>
      <c r="E55" s="3032"/>
      <c r="F55" s="3032">
        <v>1332.67</v>
      </c>
      <c r="G55" s="3032">
        <v>196</v>
      </c>
      <c r="H55" s="3032">
        <v>2</v>
      </c>
      <c r="I55" s="3032">
        <v>3</v>
      </c>
      <c r="J55" s="3032">
        <v>1</v>
      </c>
      <c r="K55" s="3032">
        <v>8</v>
      </c>
      <c r="L55" s="3005"/>
      <c r="M55" s="3045">
        <f t="shared" si="1"/>
        <v>2418.62</v>
      </c>
      <c r="N55" s="3005" t="str">
        <f>N51</f>
        <v>地下2层</v>
      </c>
      <c r="O55" s="3047">
        <f t="shared" si="2"/>
        <v>0.25</v>
      </c>
      <c r="P55" s="3005"/>
      <c r="Q55" s="3005"/>
      <c r="R55" s="3005">
        <v>2418.62</v>
      </c>
      <c r="S55" s="3005">
        <v>868.47</v>
      </c>
      <c r="T55" s="3005"/>
      <c r="U55" s="3005">
        <f t="shared" si="3"/>
        <v>1550.1499999999999</v>
      </c>
    </row>
    <row r="56" spans="1:21">
      <c r="A56" s="3031" t="s">
        <v>3125</v>
      </c>
      <c r="B56" s="3031" t="s">
        <v>3085</v>
      </c>
      <c r="C56" s="3031">
        <v>1163.2</v>
      </c>
      <c r="D56" s="3032">
        <v>351.38</v>
      </c>
      <c r="E56" s="3032"/>
      <c r="F56" s="3032">
        <v>762.82</v>
      </c>
      <c r="G56" s="3032">
        <v>49</v>
      </c>
      <c r="H56" s="3032">
        <v>2</v>
      </c>
      <c r="I56" s="3032">
        <v>3</v>
      </c>
      <c r="J56" s="3032">
        <v>1</v>
      </c>
      <c r="K56" s="3032">
        <v>2</v>
      </c>
      <c r="L56" s="3005"/>
      <c r="M56" s="3045">
        <f t="shared" si="1"/>
        <v>1170.81</v>
      </c>
      <c r="N56" s="3005" t="str">
        <f t="shared" ref="N56:N57" si="6">$N$29</f>
        <v>坑基</v>
      </c>
      <c r="O56" s="3047">
        <f t="shared" si="2"/>
        <v>0.1</v>
      </c>
      <c r="P56" s="3005"/>
      <c r="Q56" s="3005"/>
      <c r="R56" s="3005">
        <v>1170.81</v>
      </c>
      <c r="S56" s="3005">
        <v>351.38</v>
      </c>
      <c r="T56" s="3005"/>
      <c r="U56" s="3005">
        <f t="shared" si="3"/>
        <v>819.43</v>
      </c>
    </row>
    <row r="57" spans="1:21">
      <c r="A57" s="3031" t="s">
        <v>3126</v>
      </c>
      <c r="B57" s="3031" t="s">
        <v>3085</v>
      </c>
      <c r="C57" s="3031">
        <v>1163.2</v>
      </c>
      <c r="D57" s="3032">
        <v>351.38</v>
      </c>
      <c r="E57" s="3032"/>
      <c r="F57" s="3032">
        <v>762.82</v>
      </c>
      <c r="G57" s="3032">
        <v>49</v>
      </c>
      <c r="H57" s="3032">
        <v>2</v>
      </c>
      <c r="I57" s="3032">
        <v>3</v>
      </c>
      <c r="J57" s="3032">
        <v>1</v>
      </c>
      <c r="K57" s="3032">
        <v>2</v>
      </c>
      <c r="L57" s="3005"/>
      <c r="M57" s="3045">
        <f t="shared" si="1"/>
        <v>1170.81</v>
      </c>
      <c r="N57" s="3005" t="str">
        <f t="shared" si="6"/>
        <v>坑基</v>
      </c>
      <c r="O57" s="3047">
        <f t="shared" si="2"/>
        <v>0.1</v>
      </c>
      <c r="P57" s="3005"/>
      <c r="Q57" s="3005"/>
      <c r="R57" s="3005">
        <v>1170.81</v>
      </c>
      <c r="S57" s="3005">
        <v>351.38</v>
      </c>
      <c r="T57" s="3005"/>
      <c r="U57" s="3005">
        <f t="shared" si="3"/>
        <v>819.43</v>
      </c>
    </row>
    <row r="58" spans="1:21">
      <c r="A58" s="3031" t="s">
        <v>3127</v>
      </c>
      <c r="B58" s="3031" t="s">
        <v>3085</v>
      </c>
      <c r="C58" s="3031">
        <v>2397.12</v>
      </c>
      <c r="D58" s="3032">
        <v>868.45</v>
      </c>
      <c r="E58" s="3032"/>
      <c r="F58" s="3032">
        <v>1332.67</v>
      </c>
      <c r="G58" s="3032">
        <v>196</v>
      </c>
      <c r="H58" s="3032">
        <v>2</v>
      </c>
      <c r="I58" s="3032">
        <v>3</v>
      </c>
      <c r="J58" s="3032">
        <v>1</v>
      </c>
      <c r="K58" s="3032">
        <v>8</v>
      </c>
      <c r="L58" s="3005"/>
      <c r="M58" s="3045">
        <f t="shared" si="1"/>
        <v>2418.62</v>
      </c>
      <c r="N58" s="3005" t="str">
        <f>N55</f>
        <v>地下2层</v>
      </c>
      <c r="O58" s="3047">
        <f t="shared" si="2"/>
        <v>0.25</v>
      </c>
      <c r="P58" s="3005"/>
      <c r="Q58" s="3005"/>
      <c r="R58" s="3005">
        <v>2418.62</v>
      </c>
      <c r="S58" s="3005">
        <v>868.47</v>
      </c>
      <c r="T58" s="3005"/>
      <c r="U58" s="3005">
        <f t="shared" si="3"/>
        <v>1550.1499999999999</v>
      </c>
    </row>
    <row r="59" spans="1:21">
      <c r="A59" s="3031" t="s">
        <v>3128</v>
      </c>
      <c r="B59" s="3031" t="s">
        <v>3085</v>
      </c>
      <c r="C59" s="3031">
        <v>2397.12</v>
      </c>
      <c r="D59" s="3032">
        <v>868.45</v>
      </c>
      <c r="E59" s="3032"/>
      <c r="F59" s="3032">
        <v>1332.67</v>
      </c>
      <c r="G59" s="3032">
        <v>196</v>
      </c>
      <c r="H59" s="3032">
        <v>2</v>
      </c>
      <c r="I59" s="3032">
        <v>3</v>
      </c>
      <c r="J59" s="3032">
        <v>1</v>
      </c>
      <c r="K59" s="3032">
        <v>8</v>
      </c>
      <c r="L59" s="3005"/>
      <c r="M59" s="3045">
        <f t="shared" si="1"/>
        <v>2418.62</v>
      </c>
      <c r="N59" s="3005" t="str">
        <f>N55</f>
        <v>地下2层</v>
      </c>
      <c r="O59" s="3047">
        <f t="shared" si="2"/>
        <v>0.25</v>
      </c>
      <c r="P59" s="3005"/>
      <c r="Q59" s="3005"/>
      <c r="R59" s="3005">
        <v>2418.62</v>
      </c>
      <c r="S59" s="3005">
        <v>868.47</v>
      </c>
      <c r="T59" s="3005"/>
      <c r="U59" s="3005">
        <f t="shared" si="3"/>
        <v>1550.1499999999999</v>
      </c>
    </row>
    <row r="60" spans="1:21">
      <c r="A60" s="3031" t="s">
        <v>3129</v>
      </c>
      <c r="B60" s="3031" t="s">
        <v>3085</v>
      </c>
      <c r="C60" s="3031">
        <v>1799.5</v>
      </c>
      <c r="D60" s="3032">
        <v>652</v>
      </c>
      <c r="E60" s="3032"/>
      <c r="F60" s="3032">
        <v>1000.5</v>
      </c>
      <c r="G60" s="3032">
        <v>147</v>
      </c>
      <c r="H60" s="3032">
        <v>2</v>
      </c>
      <c r="I60" s="3032">
        <v>3</v>
      </c>
      <c r="J60" s="3032">
        <v>1</v>
      </c>
      <c r="K60" s="3032">
        <v>6</v>
      </c>
      <c r="L60" s="3005"/>
      <c r="M60" s="3045">
        <f t="shared" si="1"/>
        <v>1817.52</v>
      </c>
      <c r="N60" s="3005" t="str">
        <f t="shared" ref="N60:N67" si="7">$N$29</f>
        <v>坑基</v>
      </c>
      <c r="O60" s="3047">
        <f t="shared" si="2"/>
        <v>0.1</v>
      </c>
      <c r="P60" s="3005"/>
      <c r="Q60" s="3005"/>
      <c r="R60" s="3005">
        <v>1817.52</v>
      </c>
      <c r="S60" s="3005">
        <v>652.01</v>
      </c>
      <c r="T60" s="3005"/>
      <c r="U60" s="3005">
        <f t="shared" si="3"/>
        <v>1165.51</v>
      </c>
    </row>
    <row r="61" spans="1:21">
      <c r="A61" s="3031" t="s">
        <v>3130</v>
      </c>
      <c r="B61" s="3031" t="s">
        <v>3085</v>
      </c>
      <c r="C61" s="3031">
        <v>1799.5</v>
      </c>
      <c r="D61" s="3032">
        <v>652</v>
      </c>
      <c r="E61" s="3032"/>
      <c r="F61" s="3032">
        <v>1000.5</v>
      </c>
      <c r="G61" s="3032">
        <v>147</v>
      </c>
      <c r="H61" s="3032">
        <v>2</v>
      </c>
      <c r="I61" s="3032">
        <v>3</v>
      </c>
      <c r="J61" s="3032">
        <v>1</v>
      </c>
      <c r="K61" s="3032">
        <v>6</v>
      </c>
      <c r="L61" s="3005"/>
      <c r="M61" s="3045">
        <f t="shared" si="1"/>
        <v>1817.1</v>
      </c>
      <c r="N61" s="3005" t="str">
        <f t="shared" si="7"/>
        <v>坑基</v>
      </c>
      <c r="O61" s="3047">
        <f t="shared" si="2"/>
        <v>0.1</v>
      </c>
      <c r="P61" s="3005"/>
      <c r="Q61" s="3005"/>
      <c r="R61" s="3005">
        <v>1817.1</v>
      </c>
      <c r="S61" s="3005">
        <v>652.01</v>
      </c>
      <c r="T61" s="3005"/>
      <c r="U61" s="3005">
        <f t="shared" si="3"/>
        <v>1165.0899999999999</v>
      </c>
    </row>
    <row r="62" spans="1:21">
      <c r="A62" s="3031" t="s">
        <v>3131</v>
      </c>
      <c r="B62" s="3031" t="s">
        <v>3085</v>
      </c>
      <c r="C62" s="3031">
        <v>2397.12</v>
      </c>
      <c r="D62" s="3032">
        <v>868.45</v>
      </c>
      <c r="E62" s="3032"/>
      <c r="F62" s="3032">
        <v>1332.67</v>
      </c>
      <c r="G62" s="3032">
        <v>196</v>
      </c>
      <c r="H62" s="3032">
        <v>2</v>
      </c>
      <c r="I62" s="3032">
        <v>3</v>
      </c>
      <c r="J62" s="3032">
        <v>1</v>
      </c>
      <c r="K62" s="3032">
        <v>8</v>
      </c>
      <c r="L62" s="3005"/>
      <c r="M62" s="3045">
        <f t="shared" si="1"/>
        <v>2419.88</v>
      </c>
      <c r="N62" s="3005" t="str">
        <f t="shared" si="7"/>
        <v>坑基</v>
      </c>
      <c r="O62" s="3047">
        <f t="shared" si="2"/>
        <v>0.1</v>
      </c>
      <c r="P62" s="3005"/>
      <c r="Q62" s="3005"/>
      <c r="R62" s="3005">
        <v>2419.88</v>
      </c>
      <c r="S62" s="3005">
        <v>868.47</v>
      </c>
      <c r="T62" s="3005"/>
      <c r="U62" s="3005">
        <f t="shared" si="3"/>
        <v>1551.41</v>
      </c>
    </row>
    <row r="63" spans="1:21">
      <c r="A63" s="3031" t="s">
        <v>3132</v>
      </c>
      <c r="B63" s="3031" t="s">
        <v>3085</v>
      </c>
      <c r="C63" s="3031">
        <v>1228.76</v>
      </c>
      <c r="D63" s="3032">
        <v>449.6</v>
      </c>
      <c r="E63" s="3032"/>
      <c r="F63" s="3032">
        <v>681.16</v>
      </c>
      <c r="G63" s="3032">
        <v>98</v>
      </c>
      <c r="H63" s="3032">
        <v>2</v>
      </c>
      <c r="I63" s="3032">
        <v>3</v>
      </c>
      <c r="J63" s="3032">
        <v>1</v>
      </c>
      <c r="K63" s="3032">
        <v>4</v>
      </c>
      <c r="L63" s="3005"/>
      <c r="M63" s="3045">
        <f t="shared" si="1"/>
        <v>1240.22</v>
      </c>
      <c r="N63" s="3005" t="str">
        <f t="shared" si="7"/>
        <v>坑基</v>
      </c>
      <c r="O63" s="3047">
        <f t="shared" si="2"/>
        <v>0.1</v>
      </c>
      <c r="P63" s="3005"/>
      <c r="Q63" s="3005"/>
      <c r="R63" s="3005">
        <v>1240.22</v>
      </c>
      <c r="S63" s="3005">
        <v>449.59</v>
      </c>
      <c r="T63" s="3005"/>
      <c r="U63" s="3005">
        <f t="shared" si="3"/>
        <v>790.63000000000011</v>
      </c>
    </row>
    <row r="64" spans="1:21">
      <c r="A64" s="3031" t="s">
        <v>3133</v>
      </c>
      <c r="B64" s="3031" t="s">
        <v>3085</v>
      </c>
      <c r="C64" s="3031">
        <v>922.90000000000009</v>
      </c>
      <c r="D64" s="3032">
        <v>337.54</v>
      </c>
      <c r="E64" s="3032"/>
      <c r="F64" s="3032">
        <v>511.86</v>
      </c>
      <c r="G64" s="3032">
        <v>73.5</v>
      </c>
      <c r="H64" s="3032">
        <v>2</v>
      </c>
      <c r="I64" s="3032">
        <v>3</v>
      </c>
      <c r="J64" s="3032">
        <v>1</v>
      </c>
      <c r="K64" s="3032">
        <v>3</v>
      </c>
      <c r="L64" s="3005"/>
      <c r="M64" s="3045">
        <f t="shared" si="1"/>
        <v>931.94</v>
      </c>
      <c r="N64" s="3005" t="str">
        <f t="shared" si="7"/>
        <v>坑基</v>
      </c>
      <c r="O64" s="3047">
        <f t="shared" si="2"/>
        <v>0.1</v>
      </c>
      <c r="P64" s="3005"/>
      <c r="Q64" s="3005"/>
      <c r="R64" s="3005">
        <v>931.94</v>
      </c>
      <c r="S64" s="3005">
        <v>337.54</v>
      </c>
      <c r="T64" s="3005"/>
      <c r="U64" s="3005">
        <f t="shared" si="3"/>
        <v>594.40000000000009</v>
      </c>
    </row>
    <row r="65" spans="1:21">
      <c r="A65" s="3031" t="s">
        <v>3134</v>
      </c>
      <c r="B65" s="3031" t="s">
        <v>3085</v>
      </c>
      <c r="C65" s="3031">
        <v>1799.5</v>
      </c>
      <c r="D65" s="3032">
        <v>652</v>
      </c>
      <c r="E65" s="3032"/>
      <c r="F65" s="3032">
        <v>1000.5</v>
      </c>
      <c r="G65" s="3032">
        <v>147</v>
      </c>
      <c r="H65" s="3032">
        <v>2</v>
      </c>
      <c r="I65" s="3032">
        <v>3</v>
      </c>
      <c r="J65" s="3032">
        <v>1</v>
      </c>
      <c r="K65" s="3032">
        <v>6</v>
      </c>
      <c r="L65" s="3005"/>
      <c r="M65" s="3045">
        <f t="shared" si="1"/>
        <v>1816.88</v>
      </c>
      <c r="N65" s="3005" t="str">
        <f t="shared" si="7"/>
        <v>坑基</v>
      </c>
      <c r="O65" s="3047">
        <f t="shared" si="2"/>
        <v>0.1</v>
      </c>
      <c r="P65" s="3005"/>
      <c r="Q65" s="3005"/>
      <c r="R65" s="3005">
        <v>1816.88</v>
      </c>
      <c r="S65" s="3005">
        <v>652.01</v>
      </c>
      <c r="T65" s="3005"/>
      <c r="U65" s="3005">
        <f t="shared" si="3"/>
        <v>1164.8700000000001</v>
      </c>
    </row>
    <row r="66" spans="1:21">
      <c r="A66" s="3031" t="s">
        <v>3135</v>
      </c>
      <c r="B66" s="3031" t="s">
        <v>3085</v>
      </c>
      <c r="C66" s="3031">
        <v>2397.12</v>
      </c>
      <c r="D66" s="3032">
        <v>868.45</v>
      </c>
      <c r="E66" s="3032"/>
      <c r="F66" s="3032">
        <v>1332.67</v>
      </c>
      <c r="G66" s="3032">
        <v>196</v>
      </c>
      <c r="H66" s="3032">
        <v>2</v>
      </c>
      <c r="I66" s="3032">
        <v>3</v>
      </c>
      <c r="J66" s="3032">
        <v>1</v>
      </c>
      <c r="K66" s="3032">
        <v>8</v>
      </c>
      <c r="L66" s="3005"/>
      <c r="M66" s="3045">
        <f t="shared" si="1"/>
        <v>2419.88</v>
      </c>
      <c r="N66" s="3005" t="str">
        <f t="shared" si="7"/>
        <v>坑基</v>
      </c>
      <c r="O66" s="3047">
        <f t="shared" si="2"/>
        <v>0.1</v>
      </c>
      <c r="P66" s="3005"/>
      <c r="Q66" s="3005"/>
      <c r="R66" s="3005">
        <v>2419.88</v>
      </c>
      <c r="S66" s="3005">
        <v>868.47</v>
      </c>
      <c r="T66" s="3005"/>
      <c r="U66" s="3005">
        <f t="shared" si="3"/>
        <v>1551.41</v>
      </c>
    </row>
    <row r="67" spans="1:21">
      <c r="A67" s="3031" t="s">
        <v>3136</v>
      </c>
      <c r="B67" s="3031" t="s">
        <v>3085</v>
      </c>
      <c r="C67" s="3031">
        <v>1626.24</v>
      </c>
      <c r="D67" s="3032">
        <v>564.07000000000005</v>
      </c>
      <c r="E67" s="3032"/>
      <c r="F67" s="3032">
        <v>964.17</v>
      </c>
      <c r="G67" s="3032">
        <v>98</v>
      </c>
      <c r="H67" s="3032">
        <v>2</v>
      </c>
      <c r="I67" s="3032">
        <v>3</v>
      </c>
      <c r="J67" s="3032">
        <v>1</v>
      </c>
      <c r="K67" s="3032">
        <v>4</v>
      </c>
      <c r="L67" s="3005"/>
      <c r="M67" s="3045">
        <f t="shared" si="1"/>
        <v>1629.12</v>
      </c>
      <c r="N67" s="3005" t="str">
        <f t="shared" si="7"/>
        <v>坑基</v>
      </c>
      <c r="O67" s="3047">
        <f t="shared" si="2"/>
        <v>0.1</v>
      </c>
      <c r="P67" s="3005"/>
      <c r="Q67" s="3005"/>
      <c r="R67" s="3005">
        <v>1629.12</v>
      </c>
      <c r="S67" s="3005">
        <v>563.59</v>
      </c>
      <c r="T67" s="3005"/>
      <c r="U67" s="3005">
        <f t="shared" si="3"/>
        <v>1065.5299999999997</v>
      </c>
    </row>
    <row r="68" spans="1:21">
      <c r="A68" s="3031" t="s">
        <v>3137</v>
      </c>
      <c r="B68" s="3031" t="s">
        <v>3085</v>
      </c>
      <c r="C68" s="3031">
        <v>1626.24</v>
      </c>
      <c r="D68" s="3032">
        <v>564.07000000000005</v>
      </c>
      <c r="E68" s="3032"/>
      <c r="F68" s="3032">
        <v>964.17</v>
      </c>
      <c r="G68" s="3032">
        <v>98</v>
      </c>
      <c r="H68" s="3032">
        <v>2</v>
      </c>
      <c r="I68" s="3032">
        <v>3</v>
      </c>
      <c r="J68" s="3032">
        <v>1</v>
      </c>
      <c r="K68" s="3032">
        <v>4</v>
      </c>
      <c r="L68" s="3005"/>
      <c r="M68" s="3045">
        <f t="shared" ref="M68:M85" si="8">R68</f>
        <v>1629.12</v>
      </c>
      <c r="N68" s="3045" t="s">
        <v>3337</v>
      </c>
      <c r="O68" s="3047">
        <f t="shared" ref="O68:O87" si="9">IF(N68="封顶",60%,IF(N68="1层",45%,IF(N68="地下1层",30%,IF(N68="地下2层",25%,IF(N68="地下3层",20%,IF(N68="坑基",10%))))))</f>
        <v>0.45</v>
      </c>
      <c r="P68" s="3005"/>
      <c r="Q68" s="3005"/>
      <c r="R68" s="3005">
        <v>1629.12</v>
      </c>
      <c r="S68" s="3005">
        <v>563.59</v>
      </c>
      <c r="T68" s="3005"/>
      <c r="U68" s="3005">
        <f t="shared" si="3"/>
        <v>1065.5299999999997</v>
      </c>
    </row>
    <row r="69" spans="1:21">
      <c r="A69" s="3031" t="s">
        <v>3138</v>
      </c>
      <c r="B69" s="3031" t="s">
        <v>3085</v>
      </c>
      <c r="C69" s="3031">
        <v>1219.1500000000001</v>
      </c>
      <c r="D69" s="3032">
        <v>423.44</v>
      </c>
      <c r="E69" s="3032"/>
      <c r="F69" s="3032">
        <v>722.21</v>
      </c>
      <c r="G69" s="3032">
        <v>73.5</v>
      </c>
      <c r="H69" s="3032">
        <v>2</v>
      </c>
      <c r="I69" s="3032">
        <v>3</v>
      </c>
      <c r="J69" s="3032">
        <v>1</v>
      </c>
      <c r="K69" s="3032">
        <v>3</v>
      </c>
      <c r="L69" s="3005"/>
      <c r="M69" s="3045">
        <f t="shared" si="8"/>
        <v>1223.45</v>
      </c>
      <c r="N69" s="3045" t="s">
        <v>3333</v>
      </c>
      <c r="O69" s="3047">
        <f t="shared" si="9"/>
        <v>0.2</v>
      </c>
      <c r="P69" s="3005"/>
      <c r="Q69" s="3005"/>
      <c r="R69" s="3049">
        <v>1223.45</v>
      </c>
      <c r="S69" s="3005">
        <v>423.08</v>
      </c>
      <c r="T69" s="3005"/>
      <c r="U69" s="3005">
        <f t="shared" si="3"/>
        <v>800.37000000000012</v>
      </c>
    </row>
    <row r="70" spans="1:21">
      <c r="A70" s="3031" t="s">
        <v>3139</v>
      </c>
      <c r="B70" s="3031" t="s">
        <v>3085</v>
      </c>
      <c r="C70" s="3031">
        <v>1799.5</v>
      </c>
      <c r="D70" s="3032">
        <v>652</v>
      </c>
      <c r="E70" s="3032"/>
      <c r="F70" s="3032">
        <v>1000.5</v>
      </c>
      <c r="G70" s="3032">
        <v>147</v>
      </c>
      <c r="H70" s="3032">
        <v>2</v>
      </c>
      <c r="I70" s="3032">
        <v>3</v>
      </c>
      <c r="J70" s="3032">
        <v>1</v>
      </c>
      <c r="K70" s="3032">
        <v>6</v>
      </c>
      <c r="L70" s="3005"/>
      <c r="M70" s="3045">
        <f t="shared" si="8"/>
        <v>1816.88</v>
      </c>
      <c r="N70" s="3005" t="str">
        <f>N69</f>
        <v>地下3层</v>
      </c>
      <c r="O70" s="3047">
        <f t="shared" si="9"/>
        <v>0.2</v>
      </c>
      <c r="P70" s="3005"/>
      <c r="Q70" s="3005"/>
      <c r="R70" s="3005">
        <v>1816.88</v>
      </c>
      <c r="S70" s="3005">
        <v>652.01</v>
      </c>
      <c r="T70" s="3005"/>
      <c r="U70" s="3005">
        <f t="shared" si="3"/>
        <v>1164.8700000000001</v>
      </c>
    </row>
    <row r="71" spans="1:21">
      <c r="A71" s="3031" t="s">
        <v>3140</v>
      </c>
      <c r="B71" s="3031" t="s">
        <v>3085</v>
      </c>
      <c r="C71" s="3031">
        <v>1202.82</v>
      </c>
      <c r="D71" s="3032">
        <v>435.55</v>
      </c>
      <c r="E71" s="3032"/>
      <c r="F71" s="3032">
        <v>669.27</v>
      </c>
      <c r="G71" s="3032">
        <v>98</v>
      </c>
      <c r="H71" s="3032">
        <v>2</v>
      </c>
      <c r="I71" s="3032">
        <v>3</v>
      </c>
      <c r="J71" s="3032">
        <v>1</v>
      </c>
      <c r="K71" s="3032">
        <v>4</v>
      </c>
      <c r="L71" s="3005"/>
      <c r="M71" s="3045">
        <f t="shared" si="8"/>
        <v>1212.72</v>
      </c>
      <c r="N71" s="3005" t="str">
        <f>N8</f>
        <v>封顶</v>
      </c>
      <c r="O71" s="3047">
        <f t="shared" si="9"/>
        <v>0.6</v>
      </c>
      <c r="P71" s="3005"/>
      <c r="Q71" s="3005"/>
      <c r="R71" s="3005">
        <v>1212.72</v>
      </c>
      <c r="S71" s="3005">
        <v>435.56</v>
      </c>
      <c r="T71" s="3005"/>
      <c r="U71" s="3005">
        <f t="shared" si="3"/>
        <v>777.16000000000008</v>
      </c>
    </row>
    <row r="72" spans="1:21">
      <c r="A72" s="3031" t="s">
        <v>3141</v>
      </c>
      <c r="B72" s="3031" t="s">
        <v>3085</v>
      </c>
      <c r="C72" s="3031">
        <v>1202.82</v>
      </c>
      <c r="D72" s="3032">
        <v>435.55</v>
      </c>
      <c r="E72" s="3032"/>
      <c r="F72" s="3032">
        <v>669.27</v>
      </c>
      <c r="G72" s="3032">
        <v>98</v>
      </c>
      <c r="H72" s="3032">
        <v>2</v>
      </c>
      <c r="I72" s="3032">
        <v>3</v>
      </c>
      <c r="J72" s="3032">
        <v>1</v>
      </c>
      <c r="K72" s="3032">
        <v>4</v>
      </c>
      <c r="L72" s="3005"/>
      <c r="M72" s="3045">
        <f t="shared" si="8"/>
        <v>1212.72</v>
      </c>
      <c r="N72" s="3045" t="s">
        <v>3335</v>
      </c>
      <c r="O72" s="3047">
        <f t="shared" si="9"/>
        <v>0.3</v>
      </c>
      <c r="P72" s="3005"/>
      <c r="Q72" s="3005"/>
      <c r="R72" s="3005">
        <v>1212.72</v>
      </c>
      <c r="S72" s="3005">
        <v>435.56</v>
      </c>
      <c r="T72" s="3005"/>
      <c r="U72" s="3005">
        <f t="shared" si="3"/>
        <v>777.16000000000008</v>
      </c>
    </row>
    <row r="73" spans="1:21">
      <c r="A73" s="3031" t="s">
        <v>3142</v>
      </c>
      <c r="B73" s="3031" t="s">
        <v>3085</v>
      </c>
      <c r="C73" s="3031">
        <v>1799.5</v>
      </c>
      <c r="D73" s="3032">
        <v>652</v>
      </c>
      <c r="E73" s="3032"/>
      <c r="F73" s="3032">
        <v>1000.5</v>
      </c>
      <c r="G73" s="3032">
        <v>147</v>
      </c>
      <c r="H73" s="3032">
        <v>2</v>
      </c>
      <c r="I73" s="3032">
        <v>3</v>
      </c>
      <c r="J73" s="3032">
        <v>1</v>
      </c>
      <c r="K73" s="3032">
        <v>6</v>
      </c>
      <c r="L73" s="3005"/>
      <c r="M73" s="3045">
        <f t="shared" si="8"/>
        <v>1815.68</v>
      </c>
      <c r="N73" s="3005" t="str">
        <f>N67</f>
        <v>坑基</v>
      </c>
      <c r="O73" s="3047">
        <f t="shared" si="9"/>
        <v>0.1</v>
      </c>
      <c r="P73" s="3005"/>
      <c r="Q73" s="3005"/>
      <c r="R73" s="3005">
        <v>1815.68</v>
      </c>
      <c r="S73" s="3005">
        <v>652.01</v>
      </c>
      <c r="T73" s="3005"/>
      <c r="U73" s="3005">
        <f t="shared" si="3"/>
        <v>1163.67</v>
      </c>
    </row>
    <row r="74" spans="1:21">
      <c r="A74" s="3031" t="s">
        <v>3143</v>
      </c>
      <c r="B74" s="3031" t="s">
        <v>3085</v>
      </c>
      <c r="C74" s="3031">
        <v>1799.5</v>
      </c>
      <c r="D74" s="3032">
        <v>652</v>
      </c>
      <c r="E74" s="3032"/>
      <c r="F74" s="3032">
        <v>1000.5</v>
      </c>
      <c r="G74" s="3032">
        <v>147</v>
      </c>
      <c r="H74" s="3032">
        <v>2</v>
      </c>
      <c r="I74" s="3032">
        <v>3</v>
      </c>
      <c r="J74" s="3032">
        <v>1</v>
      </c>
      <c r="K74" s="3032">
        <v>6</v>
      </c>
      <c r="L74" s="3005"/>
      <c r="M74" s="3045">
        <f t="shared" si="8"/>
        <v>1817.52</v>
      </c>
      <c r="N74" s="3005" t="str">
        <f>N73</f>
        <v>坑基</v>
      </c>
      <c r="O74" s="3047">
        <f t="shared" si="9"/>
        <v>0.1</v>
      </c>
      <c r="P74" s="3005"/>
      <c r="Q74" s="3005"/>
      <c r="R74" s="3005">
        <v>1817.52</v>
      </c>
      <c r="S74" s="3005">
        <v>652.01</v>
      </c>
      <c r="T74" s="3005"/>
      <c r="U74" s="3005">
        <f t="shared" si="3"/>
        <v>1165.51</v>
      </c>
    </row>
    <row r="75" spans="1:21">
      <c r="A75" s="3031" t="s">
        <v>3144</v>
      </c>
      <c r="B75" s="3031" t="s">
        <v>3085</v>
      </c>
      <c r="C75" s="3031">
        <v>1202.82</v>
      </c>
      <c r="D75" s="3032">
        <v>435.55</v>
      </c>
      <c r="E75" s="3032"/>
      <c r="F75" s="3032">
        <v>669.27</v>
      </c>
      <c r="G75" s="3032">
        <v>98</v>
      </c>
      <c r="H75" s="3032">
        <v>2</v>
      </c>
      <c r="I75" s="3032">
        <v>3</v>
      </c>
      <c r="J75" s="3032">
        <v>1</v>
      </c>
      <c r="K75" s="3032">
        <v>4</v>
      </c>
      <c r="L75" s="3005"/>
      <c r="M75" s="3045">
        <f t="shared" si="8"/>
        <v>1213.94</v>
      </c>
      <c r="N75" s="3045" t="s">
        <v>3335</v>
      </c>
      <c r="O75" s="3047">
        <f t="shared" si="9"/>
        <v>0.3</v>
      </c>
      <c r="P75" s="3005"/>
      <c r="Q75" s="3005"/>
      <c r="R75" s="3005">
        <v>1213.94</v>
      </c>
      <c r="S75" s="3005">
        <v>435.56</v>
      </c>
      <c r="T75" s="3005"/>
      <c r="U75" s="3005">
        <f t="shared" si="3"/>
        <v>778.38000000000011</v>
      </c>
    </row>
    <row r="76" spans="1:21">
      <c r="A76" s="3031" t="s">
        <v>3145</v>
      </c>
      <c r="B76" s="3031" t="s">
        <v>3085</v>
      </c>
      <c r="C76" s="3031">
        <v>1799.5</v>
      </c>
      <c r="D76" s="3032">
        <v>652</v>
      </c>
      <c r="E76" s="3032"/>
      <c r="F76" s="3032">
        <v>1000.5</v>
      </c>
      <c r="G76" s="3032">
        <v>147</v>
      </c>
      <c r="H76" s="3032">
        <v>2</v>
      </c>
      <c r="I76" s="3032">
        <v>3</v>
      </c>
      <c r="J76" s="3032">
        <v>1</v>
      </c>
      <c r="K76" s="3032">
        <v>6</v>
      </c>
      <c r="L76" s="3005"/>
      <c r="M76" s="3045">
        <f t="shared" si="8"/>
        <v>1816.04</v>
      </c>
      <c r="N76" s="3005" t="str">
        <f>N77</f>
        <v>坑基</v>
      </c>
      <c r="O76" s="3047">
        <f t="shared" si="9"/>
        <v>0.1</v>
      </c>
      <c r="P76" s="3005"/>
      <c r="Q76" s="3005"/>
      <c r="R76" s="3005">
        <v>1816.04</v>
      </c>
      <c r="S76" s="3005">
        <v>652.01</v>
      </c>
      <c r="T76" s="3005"/>
      <c r="U76" s="3005">
        <f t="shared" si="3"/>
        <v>1164.03</v>
      </c>
    </row>
    <row r="77" spans="1:21">
      <c r="A77" s="3031" t="s">
        <v>3146</v>
      </c>
      <c r="B77" s="3031" t="s">
        <v>3085</v>
      </c>
      <c r="C77" s="3031">
        <v>1202.82</v>
      </c>
      <c r="D77" s="3032">
        <v>435.55</v>
      </c>
      <c r="E77" s="3032"/>
      <c r="F77" s="3032">
        <v>669.27</v>
      </c>
      <c r="G77" s="3032">
        <v>98</v>
      </c>
      <c r="H77" s="3032">
        <v>2</v>
      </c>
      <c r="I77" s="3032">
        <v>3</v>
      </c>
      <c r="J77" s="3032">
        <v>1</v>
      </c>
      <c r="K77" s="3032">
        <v>4</v>
      </c>
      <c r="L77" s="3005"/>
      <c r="M77" s="3045">
        <f t="shared" si="8"/>
        <v>1214.1400000000001</v>
      </c>
      <c r="N77" s="3005" t="str">
        <f>N79</f>
        <v>坑基</v>
      </c>
      <c r="O77" s="3047">
        <f t="shared" si="9"/>
        <v>0.1</v>
      </c>
      <c r="P77" s="3005"/>
      <c r="Q77" s="3005"/>
      <c r="R77" s="3005">
        <v>1214.1400000000001</v>
      </c>
      <c r="S77" s="3005">
        <v>435.56</v>
      </c>
      <c r="T77" s="3005"/>
      <c r="U77" s="3005">
        <f t="shared" si="3"/>
        <v>778.58000000000015</v>
      </c>
    </row>
    <row r="78" spans="1:21">
      <c r="A78" s="3031" t="s">
        <v>3147</v>
      </c>
      <c r="B78" s="3031" t="s">
        <v>3085</v>
      </c>
      <c r="C78" s="3031">
        <v>1203.48</v>
      </c>
      <c r="D78" s="3032">
        <v>435.55</v>
      </c>
      <c r="E78" s="3032"/>
      <c r="F78" s="3032">
        <v>669.93</v>
      </c>
      <c r="G78" s="3032">
        <v>98</v>
      </c>
      <c r="H78" s="3032">
        <v>2</v>
      </c>
      <c r="I78" s="3032">
        <v>3</v>
      </c>
      <c r="J78" s="3032">
        <v>1</v>
      </c>
      <c r="K78" s="3032">
        <v>4</v>
      </c>
      <c r="L78" s="3005"/>
      <c r="M78" s="3045">
        <f t="shared" si="8"/>
        <v>1214.6199999999999</v>
      </c>
      <c r="N78" s="3005" t="str">
        <f>N79</f>
        <v>坑基</v>
      </c>
      <c r="O78" s="3047">
        <f t="shared" si="9"/>
        <v>0.1</v>
      </c>
      <c r="P78" s="3005"/>
      <c r="Q78" s="3005"/>
      <c r="R78" s="3005">
        <v>1214.6199999999999</v>
      </c>
      <c r="S78" s="3005">
        <v>435.56</v>
      </c>
      <c r="T78" s="3005"/>
      <c r="U78" s="3005">
        <f t="shared" si="3"/>
        <v>779.06</v>
      </c>
    </row>
    <row r="79" spans="1:21">
      <c r="A79" s="3031" t="s">
        <v>3148</v>
      </c>
      <c r="B79" s="3031" t="s">
        <v>3085</v>
      </c>
      <c r="C79" s="3031">
        <v>1799.5</v>
      </c>
      <c r="D79" s="3032">
        <v>652</v>
      </c>
      <c r="E79" s="3032"/>
      <c r="F79" s="3032">
        <v>1000.5</v>
      </c>
      <c r="G79" s="3032">
        <v>147</v>
      </c>
      <c r="H79" s="3032">
        <v>2</v>
      </c>
      <c r="I79" s="3032">
        <v>3</v>
      </c>
      <c r="J79" s="3032">
        <v>1</v>
      </c>
      <c r="K79" s="3032">
        <v>6</v>
      </c>
      <c r="L79" s="3005"/>
      <c r="M79" s="3045">
        <f t="shared" si="8"/>
        <v>1816.88</v>
      </c>
      <c r="N79" s="3005" t="str">
        <f>N74</f>
        <v>坑基</v>
      </c>
      <c r="O79" s="3047">
        <f t="shared" si="9"/>
        <v>0.1</v>
      </c>
      <c r="P79" s="3005"/>
      <c r="Q79" s="3005"/>
      <c r="R79" s="3005">
        <v>1816.88</v>
      </c>
      <c r="S79" s="3005">
        <v>652.01</v>
      </c>
      <c r="T79" s="3005"/>
      <c r="U79" s="3005">
        <f t="shared" si="3"/>
        <v>1164.8700000000001</v>
      </c>
    </row>
    <row r="80" spans="1:21">
      <c r="A80" s="3031" t="s">
        <v>3149</v>
      </c>
      <c r="B80" s="3031" t="s">
        <v>3085</v>
      </c>
      <c r="C80" s="3031">
        <v>1202.82</v>
      </c>
      <c r="D80" s="3032">
        <v>435.55</v>
      </c>
      <c r="E80" s="3032"/>
      <c r="F80" s="3032">
        <v>669.27</v>
      </c>
      <c r="G80" s="3032">
        <v>98</v>
      </c>
      <c r="H80" s="3032">
        <v>2</v>
      </c>
      <c r="I80" s="3032">
        <v>3</v>
      </c>
      <c r="J80" s="3032">
        <v>1</v>
      </c>
      <c r="K80" s="3032">
        <v>4</v>
      </c>
      <c r="L80" s="3005"/>
      <c r="M80" s="3045">
        <f t="shared" si="8"/>
        <v>1214.6199999999999</v>
      </c>
      <c r="N80" s="3005" t="str">
        <f>N70</f>
        <v>地下3层</v>
      </c>
      <c r="O80" s="3047">
        <f t="shared" si="9"/>
        <v>0.2</v>
      </c>
      <c r="P80" s="3005"/>
      <c r="Q80" s="3005"/>
      <c r="R80" s="3005">
        <v>1214.6199999999999</v>
      </c>
      <c r="S80" s="3005">
        <v>435.56</v>
      </c>
      <c r="T80" s="3005"/>
      <c r="U80" s="3005">
        <f t="shared" si="3"/>
        <v>779.06</v>
      </c>
    </row>
    <row r="81" spans="1:22">
      <c r="A81" s="3031" t="s">
        <v>3150</v>
      </c>
      <c r="B81" s="3031" t="s">
        <v>3085</v>
      </c>
      <c r="C81" s="3031">
        <v>1799.5</v>
      </c>
      <c r="D81" s="3032">
        <v>652</v>
      </c>
      <c r="E81" s="3032"/>
      <c r="F81" s="3032">
        <v>1000.5</v>
      </c>
      <c r="G81" s="3032">
        <v>147</v>
      </c>
      <c r="H81" s="3032">
        <v>2</v>
      </c>
      <c r="I81" s="3032">
        <v>3</v>
      </c>
      <c r="J81" s="3032">
        <v>1</v>
      </c>
      <c r="K81" s="3032">
        <v>6</v>
      </c>
      <c r="L81" s="3005"/>
      <c r="M81" s="3045">
        <f t="shared" si="8"/>
        <v>1816.88</v>
      </c>
      <c r="N81" s="3045" t="s">
        <v>3338</v>
      </c>
      <c r="O81" s="3047">
        <f t="shared" si="9"/>
        <v>0.45</v>
      </c>
      <c r="P81" s="3005"/>
      <c r="Q81" s="3005"/>
      <c r="R81" s="3005">
        <v>1816.88</v>
      </c>
      <c r="S81" s="3005">
        <v>652.01</v>
      </c>
      <c r="T81" s="3005"/>
      <c r="U81" s="3005">
        <f t="shared" si="3"/>
        <v>1164.8700000000001</v>
      </c>
    </row>
    <row r="82" spans="1:22">
      <c r="A82" s="3031" t="s">
        <v>3151</v>
      </c>
      <c r="B82" s="3031" t="s">
        <v>3085</v>
      </c>
      <c r="C82" s="3031">
        <v>1799.5</v>
      </c>
      <c r="D82" s="3032">
        <v>652</v>
      </c>
      <c r="E82" s="3032"/>
      <c r="F82" s="3032">
        <v>1000.5</v>
      </c>
      <c r="G82" s="3032">
        <v>147</v>
      </c>
      <c r="H82" s="3032">
        <v>2</v>
      </c>
      <c r="I82" s="3032">
        <v>3</v>
      </c>
      <c r="J82" s="3032">
        <v>1</v>
      </c>
      <c r="K82" s="3032">
        <v>6</v>
      </c>
      <c r="L82" s="3005"/>
      <c r="M82" s="3045">
        <f t="shared" si="8"/>
        <v>1816.88</v>
      </c>
      <c r="N82" s="3005" t="str">
        <f>N74</f>
        <v>坑基</v>
      </c>
      <c r="O82" s="3047">
        <f t="shared" si="9"/>
        <v>0.1</v>
      </c>
      <c r="P82" s="3005"/>
      <c r="Q82" s="3005"/>
      <c r="R82" s="3005">
        <v>1816.88</v>
      </c>
      <c r="S82" s="3005">
        <v>652.01</v>
      </c>
      <c r="T82" s="3005"/>
      <c r="U82" s="3005">
        <f t="shared" si="3"/>
        <v>1164.8700000000001</v>
      </c>
    </row>
    <row r="83" spans="1:22">
      <c r="A83" s="3031" t="s">
        <v>3152</v>
      </c>
      <c r="B83" s="3031" t="s">
        <v>3085</v>
      </c>
      <c r="C83" s="3031">
        <v>1202.82</v>
      </c>
      <c r="D83" s="3032">
        <v>435.55</v>
      </c>
      <c r="E83" s="3032"/>
      <c r="F83" s="3032">
        <v>669.27</v>
      </c>
      <c r="G83" s="3032">
        <v>98</v>
      </c>
      <c r="H83" s="3032">
        <v>2</v>
      </c>
      <c r="I83" s="3032">
        <v>3</v>
      </c>
      <c r="J83" s="3032">
        <v>1</v>
      </c>
      <c r="K83" s="3032">
        <v>4</v>
      </c>
      <c r="L83" s="3005"/>
      <c r="M83" s="3045">
        <f t="shared" si="8"/>
        <v>1213.94</v>
      </c>
      <c r="N83" s="3005" t="str">
        <f>N70</f>
        <v>地下3层</v>
      </c>
      <c r="O83" s="3047">
        <f t="shared" si="9"/>
        <v>0.2</v>
      </c>
      <c r="P83" s="3005"/>
      <c r="Q83" s="3005"/>
      <c r="R83" s="3005">
        <v>1213.94</v>
      </c>
      <c r="S83" s="3005">
        <v>435.56</v>
      </c>
      <c r="T83" s="3005"/>
      <c r="U83" s="3005">
        <f t="shared" si="3"/>
        <v>778.38000000000011</v>
      </c>
    </row>
    <row r="84" spans="1:22">
      <c r="A84" s="3031" t="s">
        <v>3153</v>
      </c>
      <c r="B84" s="3031" t="s">
        <v>3085</v>
      </c>
      <c r="C84" s="3031">
        <v>1202.82</v>
      </c>
      <c r="D84" s="3032">
        <v>435.55</v>
      </c>
      <c r="E84" s="3032"/>
      <c r="F84" s="3032">
        <v>669.27</v>
      </c>
      <c r="G84" s="3032">
        <v>98</v>
      </c>
      <c r="H84" s="3032">
        <v>2</v>
      </c>
      <c r="I84" s="3032">
        <v>3</v>
      </c>
      <c r="J84" s="3032">
        <v>1</v>
      </c>
      <c r="K84" s="3032">
        <v>4</v>
      </c>
      <c r="L84" s="3005"/>
      <c r="M84" s="3045">
        <f t="shared" si="8"/>
        <v>1213.78</v>
      </c>
      <c r="N84" s="3005" t="str">
        <f>N70</f>
        <v>地下3层</v>
      </c>
      <c r="O84" s="3047">
        <f t="shared" si="9"/>
        <v>0.2</v>
      </c>
      <c r="P84" s="3005"/>
      <c r="Q84" s="3005"/>
      <c r="R84" s="3005">
        <v>1213.78</v>
      </c>
      <c r="S84" s="3005">
        <v>435.56</v>
      </c>
      <c r="T84" s="3005"/>
      <c r="U84" s="3005">
        <f t="shared" si="3"/>
        <v>778.22</v>
      </c>
    </row>
    <row r="85" spans="1:22">
      <c r="A85" s="3031" t="s">
        <v>3154</v>
      </c>
      <c r="B85" s="3031" t="s">
        <v>3085</v>
      </c>
      <c r="C85" s="3031">
        <v>1799.5</v>
      </c>
      <c r="D85" s="3032">
        <v>652</v>
      </c>
      <c r="E85" s="3032"/>
      <c r="F85" s="3032">
        <v>1000.5</v>
      </c>
      <c r="G85" s="3032">
        <v>147</v>
      </c>
      <c r="H85" s="3032">
        <v>2</v>
      </c>
      <c r="I85" s="3032">
        <v>3</v>
      </c>
      <c r="J85" s="3032">
        <v>1</v>
      </c>
      <c r="K85" s="3032">
        <v>6</v>
      </c>
      <c r="L85" s="3005"/>
      <c r="M85" s="3045">
        <f t="shared" si="8"/>
        <v>1816.32</v>
      </c>
      <c r="N85" s="3005" t="str">
        <f>N82</f>
        <v>坑基</v>
      </c>
      <c r="O85" s="3047">
        <f t="shared" si="9"/>
        <v>0.1</v>
      </c>
      <c r="P85" s="3005"/>
      <c r="Q85" s="3005"/>
      <c r="R85" s="3005">
        <v>1816.32</v>
      </c>
      <c r="S85" s="3005">
        <v>652.01</v>
      </c>
      <c r="T85" s="3005"/>
      <c r="U85" s="3005">
        <f t="shared" si="3"/>
        <v>1164.31</v>
      </c>
    </row>
    <row r="86" spans="1:22">
      <c r="A86" s="3031" t="s">
        <v>37</v>
      </c>
      <c r="B86" s="3032"/>
      <c r="C86" s="3031">
        <f>SUM(C3:C85)</f>
        <v>129624.39</v>
      </c>
      <c r="D86" s="3031">
        <f>SUM(D3:D85)</f>
        <v>46712.660000000018</v>
      </c>
      <c r="E86" s="3031"/>
      <c r="F86" s="3031">
        <f>SUM(F3:F85)</f>
        <v>72621.729999999967</v>
      </c>
      <c r="G86" s="3031">
        <v>10290</v>
      </c>
      <c r="H86" s="3032"/>
      <c r="I86" s="3032"/>
      <c r="J86" s="3032"/>
      <c r="K86" s="3032">
        <v>420</v>
      </c>
      <c r="L86" s="3045" t="s">
        <v>3491</v>
      </c>
      <c r="M86" s="3045">
        <f>C109-E95-J95</f>
        <v>56572.749999999993</v>
      </c>
      <c r="N86" s="3045" t="s">
        <v>3339</v>
      </c>
      <c r="O86" s="3047">
        <f t="shared" si="9"/>
        <v>0.1</v>
      </c>
      <c r="P86" s="3005"/>
      <c r="Q86" s="3005"/>
      <c r="R86" s="3005">
        <v>38228.400000000001</v>
      </c>
      <c r="S86" s="3005"/>
      <c r="T86" s="3005">
        <f>R86</f>
        <v>38228.400000000001</v>
      </c>
      <c r="U86" s="3005"/>
    </row>
    <row r="87" spans="1:22">
      <c r="A87" s="2960" t="s">
        <v>3155</v>
      </c>
      <c r="B87" s="2960" t="s">
        <v>3156</v>
      </c>
      <c r="C87" s="2960">
        <v>450</v>
      </c>
      <c r="D87" s="2961"/>
      <c r="E87" s="2961">
        <v>300</v>
      </c>
      <c r="F87" s="2961"/>
      <c r="G87" s="2961">
        <v>150</v>
      </c>
      <c r="H87" s="2961"/>
      <c r="I87" s="2961"/>
      <c r="J87" s="2961"/>
      <c r="K87" s="2961"/>
      <c r="M87" s="2952">
        <v>450</v>
      </c>
      <c r="N87" s="2952" t="s">
        <v>3492</v>
      </c>
      <c r="O87" s="2990">
        <f t="shared" si="9"/>
        <v>0.6</v>
      </c>
      <c r="R87" s="3001">
        <f>SUM(R3:R86)</f>
        <v>168999.5</v>
      </c>
      <c r="S87" s="3001">
        <f>SUM(S3:S86)</f>
        <v>46710.839999999989</v>
      </c>
      <c r="T87" s="3001">
        <f>T86</f>
        <v>38228.400000000001</v>
      </c>
      <c r="U87" s="3001">
        <f>SUM(U3:U86)</f>
        <v>84060.26</v>
      </c>
    </row>
    <row r="88" spans="1:22">
      <c r="A88" s="2960" t="s">
        <v>48</v>
      </c>
      <c r="B88" s="2961"/>
      <c r="C88" s="2961">
        <f>E88+F88+G88</f>
        <v>50636.86</v>
      </c>
      <c r="D88" s="2961"/>
      <c r="E88" s="2961">
        <v>129</v>
      </c>
      <c r="F88" s="2961">
        <v>46509.14</v>
      </c>
      <c r="G88" s="2961">
        <v>3998.72</v>
      </c>
      <c r="H88" s="2961"/>
      <c r="I88" s="2961"/>
      <c r="J88" s="2961"/>
      <c r="K88" s="2961"/>
      <c r="L88" s="2952" t="s">
        <v>3490</v>
      </c>
      <c r="M88" s="2952">
        <f>T87+V91</f>
        <v>39574.06</v>
      </c>
      <c r="N88" s="2952" t="s">
        <v>3489</v>
      </c>
      <c r="O88" s="2990">
        <f>IF(N88="封顶",60%,IF(N88="1层",45%,IF(N88="地下1层",30%,IF(N88="地下2层",25%,IF(N88="地下3层",20%,IF(N88="坑基",10%))))))</f>
        <v>0.2</v>
      </c>
    </row>
    <row r="89" spans="1:22">
      <c r="A89" s="2961"/>
      <c r="B89" s="2961"/>
      <c r="C89" s="2995">
        <f>C86+C88+C87</f>
        <v>180711.25</v>
      </c>
      <c r="D89" s="2961"/>
      <c r="E89" s="2961"/>
      <c r="F89" s="2961">
        <v>10280</v>
      </c>
      <c r="G89" s="2961"/>
      <c r="H89" s="2961"/>
      <c r="I89" s="2961"/>
      <c r="J89" s="2961"/>
      <c r="K89" s="2961"/>
      <c r="M89" s="3034">
        <f>SUM(M3:M88)</f>
        <v>227367.90999999997</v>
      </c>
      <c r="O89" s="2990">
        <f>ROUND(SUMPRODUCT(M3:M88,O3:O88)/M89,2)</f>
        <v>0.19</v>
      </c>
      <c r="Q89" s="2999"/>
    </row>
    <row r="90" spans="1:22">
      <c r="D90" s="2989"/>
      <c r="M90" s="3035"/>
      <c r="U90" s="2952" t="s">
        <v>3346</v>
      </c>
      <c r="V90" s="2952" t="s">
        <v>3347</v>
      </c>
    </row>
    <row r="91" spans="1:22">
      <c r="M91" s="3036"/>
      <c r="N91">
        <v>0.64323254210551095</v>
      </c>
      <c r="R91">
        <v>167776.05</v>
      </c>
      <c r="U91">
        <v>39574.06</v>
      </c>
      <c r="V91" s="3001">
        <f>U91-R86</f>
        <v>1345.6599999999962</v>
      </c>
    </row>
    <row r="92" spans="1:22">
      <c r="B92" s="3158" t="s">
        <v>37</v>
      </c>
      <c r="C92" s="3158" t="s">
        <v>3074</v>
      </c>
      <c r="D92" s="3158"/>
      <c r="E92" s="3158"/>
      <c r="F92" s="3158"/>
      <c r="G92" s="3158" t="s">
        <v>3075</v>
      </c>
      <c r="H92" s="3158"/>
      <c r="I92" s="3158"/>
      <c r="J92" s="3158"/>
      <c r="K92" s="3158"/>
      <c r="L92" s="2993"/>
      <c r="P92" s="2997">
        <f>R87+V91+B95</f>
        <v>228837.91</v>
      </c>
    </row>
    <row r="93" spans="1:22">
      <c r="B93" s="3159"/>
      <c r="C93" s="2954" t="s">
        <v>3076</v>
      </c>
      <c r="D93" s="2954" t="s">
        <v>3079</v>
      </c>
      <c r="E93" s="2954" t="s">
        <v>3157</v>
      </c>
      <c r="F93" s="2954" t="s">
        <v>1373</v>
      </c>
      <c r="G93" s="2954" t="s">
        <v>3078</v>
      </c>
      <c r="H93" s="2954" t="s">
        <v>3158</v>
      </c>
      <c r="I93" s="2954" t="s">
        <v>3079</v>
      </c>
      <c r="J93" s="2955" t="s">
        <v>3157</v>
      </c>
      <c r="K93" s="2955" t="s">
        <v>1373</v>
      </c>
      <c r="L93" s="2994"/>
      <c r="N93" s="2952" t="s">
        <v>3159</v>
      </c>
      <c r="S93" s="2960" t="s">
        <v>3343</v>
      </c>
      <c r="T93" s="2960" t="s">
        <v>3344</v>
      </c>
      <c r="U93" s="2960" t="s">
        <v>3345</v>
      </c>
    </row>
    <row r="94" spans="1:22">
      <c r="A94" s="2956"/>
      <c r="B94" s="2956">
        <f>SUM(C94:K94)</f>
        <v>170431.25000000003</v>
      </c>
      <c r="C94" s="2956">
        <v>46712.660000000018</v>
      </c>
      <c r="D94" s="2956">
        <v>300</v>
      </c>
      <c r="E94" s="2956"/>
      <c r="F94" s="2956"/>
      <c r="G94" s="2956">
        <v>72621.73</v>
      </c>
      <c r="H94" s="2956">
        <v>36358.14</v>
      </c>
      <c r="I94" s="2956">
        <v>14438.72</v>
      </c>
      <c r="J94" s="2956"/>
      <c r="K94" s="2956"/>
      <c r="L94" s="2957"/>
      <c r="M94" s="2952" t="s">
        <v>3160</v>
      </c>
      <c r="N94">
        <v>10280</v>
      </c>
      <c r="P94" s="2953"/>
      <c r="S94" s="2961">
        <f>R86-H94</f>
        <v>1870.260000000002</v>
      </c>
      <c r="T94" s="2961">
        <f>S87-C94</f>
        <v>-1.8200000000288128</v>
      </c>
      <c r="U94" s="2961">
        <f>U87-G94</f>
        <v>11438.529999999999</v>
      </c>
    </row>
    <row r="95" spans="1:22" s="3001" customFormat="1">
      <c r="A95" s="3002"/>
      <c r="B95" s="3002">
        <f>SUM(C95:K95)</f>
        <v>58492.750000000007</v>
      </c>
      <c r="C95" s="3002">
        <v>42524.340000000011</v>
      </c>
      <c r="D95" s="3002">
        <v>168</v>
      </c>
      <c r="E95" s="3002">
        <v>1870</v>
      </c>
      <c r="F95" s="3002">
        <v>250</v>
      </c>
      <c r="G95" s="3002">
        <v>10172.129999999999</v>
      </c>
      <c r="H95" s="3002"/>
      <c r="I95" s="3002">
        <v>3228.2799999999997</v>
      </c>
      <c r="J95" s="3002">
        <v>50</v>
      </c>
      <c r="K95" s="3002">
        <v>230</v>
      </c>
      <c r="L95" s="3003"/>
    </row>
    <row r="96" spans="1:22">
      <c r="A96" s="2956"/>
      <c r="B96" s="2956">
        <f t="shared" ref="B96" si="10">SUM(C96:K96)</f>
        <v>228924</v>
      </c>
      <c r="C96" s="2956">
        <v>89237.000000000029</v>
      </c>
      <c r="D96" s="2956">
        <v>468</v>
      </c>
      <c r="E96" s="2956">
        <v>1870</v>
      </c>
      <c r="F96" s="2956">
        <v>250</v>
      </c>
      <c r="G96" s="2956">
        <v>82793.859999999971</v>
      </c>
      <c r="H96" s="2956">
        <v>36358.14</v>
      </c>
      <c r="I96" s="2956">
        <v>17667</v>
      </c>
      <c r="J96" s="2956">
        <v>50</v>
      </c>
      <c r="K96" s="2956">
        <v>230</v>
      </c>
      <c r="L96" s="2957"/>
      <c r="S96">
        <v>67032.62</v>
      </c>
      <c r="U96">
        <v>104497.3</v>
      </c>
      <c r="V96">
        <v>62324.57</v>
      </c>
    </row>
    <row r="97" spans="1:21">
      <c r="B97" s="2957"/>
      <c r="C97" s="2957"/>
      <c r="D97" s="2957"/>
      <c r="E97" s="2957"/>
      <c r="F97" s="2957"/>
      <c r="G97" s="2957"/>
      <c r="S97">
        <f>R86+I115</f>
        <v>65277.4</v>
      </c>
      <c r="U97">
        <f>U87+G95+F115</f>
        <v>158635.39000000001</v>
      </c>
    </row>
    <row r="98" spans="1:21">
      <c r="A98" s="2954" t="s">
        <v>3161</v>
      </c>
      <c r="B98" s="2956"/>
      <c r="C98" s="2956"/>
      <c r="D98" s="2954" t="s">
        <v>3074</v>
      </c>
      <c r="E98" s="2954"/>
      <c r="F98" s="2954"/>
      <c r="G98" s="2954"/>
      <c r="H98" s="2954" t="s">
        <v>3075</v>
      </c>
      <c r="I98" s="2954"/>
      <c r="J98" s="2956"/>
      <c r="K98" s="2956"/>
      <c r="L98" s="2992"/>
      <c r="M98" s="2956"/>
      <c r="N98" s="2956"/>
      <c r="O98" s="2956"/>
      <c r="P98" s="2956"/>
      <c r="Q98" s="2956"/>
    </row>
    <row r="99" spans="1:21">
      <c r="A99" s="2954"/>
      <c r="B99" s="2956"/>
      <c r="C99" s="2954" t="s">
        <v>37</v>
      </c>
      <c r="D99" s="2954" t="s">
        <v>3076</v>
      </c>
      <c r="E99" s="2954" t="s">
        <v>3079</v>
      </c>
      <c r="F99" s="2954" t="s">
        <v>3157</v>
      </c>
      <c r="G99" s="2954" t="s">
        <v>1373</v>
      </c>
      <c r="H99" s="2954" t="s">
        <v>3078</v>
      </c>
      <c r="I99" s="2954" t="s">
        <v>3079</v>
      </c>
      <c r="J99" s="2954" t="s">
        <v>3157</v>
      </c>
      <c r="K99" s="2954" t="s">
        <v>1373</v>
      </c>
      <c r="L99" s="2991"/>
      <c r="M99" s="2954" t="s">
        <v>3080</v>
      </c>
      <c r="N99" s="2954" t="s">
        <v>3081</v>
      </c>
      <c r="O99" s="2954" t="s">
        <v>3082</v>
      </c>
      <c r="P99" s="2954" t="s">
        <v>3083</v>
      </c>
      <c r="Q99" s="2954" t="s">
        <v>3162</v>
      </c>
    </row>
    <row r="100" spans="1:21">
      <c r="A100" s="2954" t="s">
        <v>3163</v>
      </c>
      <c r="B100" s="2954" t="s">
        <v>3085</v>
      </c>
      <c r="C100" s="2956">
        <f>SUM(D100:K100)</f>
        <v>9627.16</v>
      </c>
      <c r="D100" s="2956">
        <v>6972.46</v>
      </c>
      <c r="E100" s="2956"/>
      <c r="F100" s="2956"/>
      <c r="G100" s="2956"/>
      <c r="H100" s="2956">
        <v>1536.46</v>
      </c>
      <c r="I100" s="2956">
        <v>1118.24</v>
      </c>
      <c r="J100" s="2956"/>
      <c r="K100" s="2956"/>
      <c r="L100" s="2992"/>
      <c r="M100" s="2956">
        <v>8</v>
      </c>
      <c r="N100" s="2956">
        <v>3</v>
      </c>
      <c r="O100" s="2956">
        <v>1</v>
      </c>
      <c r="P100" s="2956">
        <v>48</v>
      </c>
      <c r="Q100" s="2956">
        <v>6115.4</v>
      </c>
    </row>
    <row r="101" spans="1:21">
      <c r="A101" s="2954" t="s">
        <v>3164</v>
      </c>
      <c r="B101" s="2954" t="s">
        <v>3085</v>
      </c>
      <c r="C101" s="2956">
        <f t="shared" ref="C101:C108" si="11">SUM(D101:K101)</f>
        <v>8835.02</v>
      </c>
      <c r="D101" s="2956">
        <v>6984.06</v>
      </c>
      <c r="E101" s="2956"/>
      <c r="F101" s="2956"/>
      <c r="G101" s="2956"/>
      <c r="H101" s="2956">
        <v>1622.72</v>
      </c>
      <c r="I101" s="2956">
        <v>228.24</v>
      </c>
      <c r="J101" s="2956"/>
      <c r="K101" s="2956"/>
      <c r="L101" s="2992"/>
      <c r="M101" s="2956">
        <v>8</v>
      </c>
      <c r="N101" s="2956">
        <v>3</v>
      </c>
      <c r="O101" s="2956">
        <v>1</v>
      </c>
      <c r="P101" s="2956">
        <v>48</v>
      </c>
      <c r="Q101" s="2956">
        <v>6115.4</v>
      </c>
    </row>
    <row r="102" spans="1:21">
      <c r="A102" s="2954" t="s">
        <v>3165</v>
      </c>
      <c r="B102" s="2954" t="s">
        <v>3085</v>
      </c>
      <c r="C102" s="2956">
        <f t="shared" si="11"/>
        <v>8835.07</v>
      </c>
      <c r="D102" s="2956">
        <v>6975.06</v>
      </c>
      <c r="E102" s="2956"/>
      <c r="F102" s="2956"/>
      <c r="G102" s="2956"/>
      <c r="H102" s="2956">
        <v>1631.77</v>
      </c>
      <c r="I102" s="2956">
        <v>228.24</v>
      </c>
      <c r="J102" s="2956"/>
      <c r="K102" s="2956"/>
      <c r="L102" s="2992"/>
      <c r="M102" s="2956">
        <v>8</v>
      </c>
      <c r="N102" s="2956">
        <v>3</v>
      </c>
      <c r="O102" s="2956">
        <v>1</v>
      </c>
      <c r="P102" s="2956">
        <v>48</v>
      </c>
      <c r="Q102" s="2956">
        <v>6115.4</v>
      </c>
    </row>
    <row r="103" spans="1:21">
      <c r="A103" s="2954" t="s">
        <v>3166</v>
      </c>
      <c r="B103" s="2954" t="s">
        <v>3085</v>
      </c>
      <c r="C103" s="2956">
        <f t="shared" si="11"/>
        <v>7910.56</v>
      </c>
      <c r="D103" s="2956">
        <v>4540.51</v>
      </c>
      <c r="E103" s="2956">
        <v>78</v>
      </c>
      <c r="F103" s="2956">
        <v>650</v>
      </c>
      <c r="G103" s="2956">
        <v>250</v>
      </c>
      <c r="H103" s="2956">
        <v>1294.5899999999999</v>
      </c>
      <c r="I103" s="2956">
        <v>867.46</v>
      </c>
      <c r="J103" s="2956"/>
      <c r="K103" s="2956">
        <v>230</v>
      </c>
      <c r="L103" s="2992"/>
      <c r="M103" s="2956">
        <v>8</v>
      </c>
      <c r="N103" s="2956">
        <v>3</v>
      </c>
      <c r="O103" s="2956">
        <v>1</v>
      </c>
      <c r="P103" s="2956">
        <v>30</v>
      </c>
      <c r="Q103" s="2956">
        <v>4191.8999999999996</v>
      </c>
    </row>
    <row r="104" spans="1:21">
      <c r="A104" s="2954" t="s">
        <v>3167</v>
      </c>
      <c r="B104" s="2954" t="s">
        <v>3085</v>
      </c>
      <c r="C104" s="2956">
        <f t="shared" si="11"/>
        <v>6088.81</v>
      </c>
      <c r="D104" s="2956">
        <v>4545.8500000000004</v>
      </c>
      <c r="E104" s="2956">
        <v>90</v>
      </c>
      <c r="F104" s="2956">
        <v>220</v>
      </c>
      <c r="G104" s="2956"/>
      <c r="H104" s="2956">
        <v>897.65</v>
      </c>
      <c r="I104" s="2956">
        <v>285.31</v>
      </c>
      <c r="J104" s="2956">
        <v>50</v>
      </c>
      <c r="K104" s="2956"/>
      <c r="L104" s="2992"/>
      <c r="M104" s="2956">
        <v>8</v>
      </c>
      <c r="N104" s="2956">
        <v>3</v>
      </c>
      <c r="O104" s="2956">
        <v>1</v>
      </c>
      <c r="P104" s="2956">
        <v>30</v>
      </c>
      <c r="Q104" s="2956">
        <v>4191.8999999999996</v>
      </c>
      <c r="S104" s="3004"/>
      <c r="T104" s="3004"/>
    </row>
    <row r="105" spans="1:21">
      <c r="A105" s="2954" t="s">
        <v>3168</v>
      </c>
      <c r="B105" s="2954" t="s">
        <v>3085</v>
      </c>
      <c r="C105" s="2956">
        <f t="shared" si="11"/>
        <v>5398.7100000000009</v>
      </c>
      <c r="D105" s="2956">
        <v>4168.8</v>
      </c>
      <c r="E105" s="2956"/>
      <c r="F105" s="2956"/>
      <c r="G105" s="2956"/>
      <c r="H105" s="2956">
        <v>1062.98</v>
      </c>
      <c r="I105" s="2956">
        <v>166.93</v>
      </c>
      <c r="J105" s="2956"/>
      <c r="K105" s="2956"/>
      <c r="L105" s="2992"/>
      <c r="M105" s="2956">
        <v>8</v>
      </c>
      <c r="N105" s="2956">
        <v>3</v>
      </c>
      <c r="O105" s="2956">
        <v>1</v>
      </c>
      <c r="P105" s="2956">
        <v>28</v>
      </c>
      <c r="Q105" s="2956">
        <v>1364</v>
      </c>
    </row>
    <row r="106" spans="1:21">
      <c r="A106" s="2954" t="s">
        <v>3169</v>
      </c>
      <c r="B106" s="2954" t="s">
        <v>3085</v>
      </c>
      <c r="C106" s="2956">
        <f t="shared" si="11"/>
        <v>5398.7100000000009</v>
      </c>
      <c r="D106" s="2956">
        <v>4168.8</v>
      </c>
      <c r="E106" s="2956"/>
      <c r="F106" s="2956"/>
      <c r="G106" s="2956"/>
      <c r="H106" s="2956">
        <v>1062.98</v>
      </c>
      <c r="I106" s="2956">
        <v>166.93</v>
      </c>
      <c r="J106" s="2956"/>
      <c r="K106" s="2956"/>
      <c r="L106" s="2992"/>
      <c r="M106" s="2956">
        <v>8</v>
      </c>
      <c r="N106" s="2956">
        <v>3</v>
      </c>
      <c r="O106" s="2956">
        <v>1</v>
      </c>
      <c r="P106" s="2956">
        <v>28</v>
      </c>
      <c r="Q106" s="2956">
        <v>0</v>
      </c>
    </row>
    <row r="107" spans="1:21">
      <c r="A107" s="2954" t="s">
        <v>3170</v>
      </c>
      <c r="B107" s="2954" t="s">
        <v>3085</v>
      </c>
      <c r="C107" s="2956">
        <f t="shared" si="11"/>
        <v>5398.7100000000009</v>
      </c>
      <c r="D107" s="2956">
        <v>4168.8</v>
      </c>
      <c r="E107" s="2956"/>
      <c r="F107" s="2956"/>
      <c r="G107" s="2956"/>
      <c r="H107" s="2956">
        <v>1062.98</v>
      </c>
      <c r="I107" s="2956">
        <v>166.93</v>
      </c>
      <c r="J107" s="2956"/>
      <c r="K107" s="2956"/>
      <c r="L107" s="2992"/>
      <c r="M107" s="2956">
        <v>8</v>
      </c>
      <c r="N107" s="2956">
        <v>3</v>
      </c>
      <c r="O107" s="2956">
        <v>1</v>
      </c>
      <c r="P107" s="2956">
        <v>28</v>
      </c>
      <c r="Q107" s="2956">
        <v>3582.1</v>
      </c>
    </row>
    <row r="108" spans="1:21">
      <c r="A108" s="2954" t="s">
        <v>3171</v>
      </c>
      <c r="B108" s="2954" t="s">
        <v>3172</v>
      </c>
      <c r="C108" s="2956">
        <f t="shared" si="11"/>
        <v>1000</v>
      </c>
      <c r="D108" s="2956"/>
      <c r="E108" s="2956"/>
      <c r="F108" s="2956">
        <v>1000</v>
      </c>
      <c r="G108" s="2956"/>
      <c r="H108" s="2956"/>
      <c r="I108" s="2956"/>
      <c r="J108" s="2956"/>
      <c r="K108" s="2956"/>
      <c r="L108" s="2992"/>
      <c r="M108" s="2956"/>
      <c r="N108" s="2956"/>
      <c r="O108" s="2956"/>
      <c r="P108" s="2956"/>
      <c r="Q108" s="2956"/>
    </row>
    <row r="109" spans="1:21">
      <c r="A109" s="2954" t="s">
        <v>37</v>
      </c>
      <c r="B109" s="2956"/>
      <c r="C109" s="2956">
        <f>SUM(C100:C108)</f>
        <v>58492.749999999993</v>
      </c>
      <c r="D109" s="2956">
        <f t="shared" ref="D109:G109" si="12">SUM(D100:D108)</f>
        <v>42524.340000000011</v>
      </c>
      <c r="E109" s="2956">
        <f t="shared" si="12"/>
        <v>168</v>
      </c>
      <c r="F109" s="2956">
        <f>SUM(F100:F108)</f>
        <v>1870</v>
      </c>
      <c r="G109" s="2956">
        <f t="shared" si="12"/>
        <v>250</v>
      </c>
      <c r="H109" s="2956">
        <f>SUM(H100:H108)</f>
        <v>10172.129999999999</v>
      </c>
      <c r="I109" s="2956">
        <f t="shared" ref="I109" si="13">SUM(I100:I108)</f>
        <v>3228.2799999999997</v>
      </c>
      <c r="J109" s="2956">
        <f t="shared" ref="J109" si="14">SUM(J100:J108)</f>
        <v>50</v>
      </c>
      <c r="K109" s="2956">
        <f t="shared" ref="K109" si="15">SUM(K100:K108)</f>
        <v>230</v>
      </c>
      <c r="L109" s="2992"/>
      <c r="M109" s="2956"/>
      <c r="N109" s="2956"/>
      <c r="O109" s="2956"/>
      <c r="P109" s="2956">
        <f>SUM(P100:P108)</f>
        <v>288</v>
      </c>
      <c r="Q109" s="2956">
        <f>SUM(Q100:Q108)</f>
        <v>31676.1</v>
      </c>
    </row>
    <row r="111" spans="1:21">
      <c r="B111" s="2958" t="s">
        <v>3173</v>
      </c>
      <c r="C111">
        <v>64089.62</v>
      </c>
    </row>
    <row r="112" spans="1:21">
      <c r="B112" s="2959" t="s">
        <v>3174</v>
      </c>
      <c r="C112">
        <v>91043.21</v>
      </c>
    </row>
    <row r="113" spans="2:14">
      <c r="B113" s="2959"/>
      <c r="C113" s="2956"/>
      <c r="D113" s="2954" t="s">
        <v>3074</v>
      </c>
      <c r="E113" s="2956"/>
      <c r="F113" s="2954" t="s">
        <v>3075</v>
      </c>
      <c r="G113" s="2956"/>
      <c r="H113" s="2956"/>
      <c r="I113" s="2956"/>
    </row>
    <row r="114" spans="2:14">
      <c r="B114" s="2960" t="s">
        <v>37</v>
      </c>
      <c r="C114" s="2954" t="s">
        <v>3076</v>
      </c>
      <c r="D114" s="2954" t="s">
        <v>3175</v>
      </c>
      <c r="E114" s="2954" t="s">
        <v>3079</v>
      </c>
      <c r="F114" s="2954" t="s">
        <v>3078</v>
      </c>
      <c r="G114" s="2954" t="s">
        <v>3176</v>
      </c>
      <c r="H114" s="2954" t="s">
        <v>3079</v>
      </c>
      <c r="I114" s="2954" t="s">
        <v>3158</v>
      </c>
      <c r="M114" s="2952" t="s">
        <v>3159</v>
      </c>
    </row>
    <row r="115" spans="2:14">
      <c r="B115" s="2961">
        <v>168826</v>
      </c>
      <c r="C115" s="2954">
        <v>40845.619999999995</v>
      </c>
      <c r="D115" s="2956">
        <v>23770.38</v>
      </c>
      <c r="E115" s="2956">
        <v>78</v>
      </c>
      <c r="F115" s="2956">
        <v>64403</v>
      </c>
      <c r="G115" s="2956">
        <v>990</v>
      </c>
      <c r="H115" s="2956">
        <v>11690</v>
      </c>
      <c r="I115" s="2956">
        <v>27049</v>
      </c>
      <c r="K115" s="2952" t="s">
        <v>3177</v>
      </c>
      <c r="L115" s="2952"/>
      <c r="M115">
        <v>4204</v>
      </c>
      <c r="N115">
        <v>173030</v>
      </c>
    </row>
    <row r="116" spans="2:14">
      <c r="K116">
        <v>39.545321637426902</v>
      </c>
    </row>
    <row r="119" spans="2:14">
      <c r="C119">
        <v>155132.83000000002</v>
      </c>
    </row>
  </sheetData>
  <mergeCells count="3">
    <mergeCell ref="B92:B93"/>
    <mergeCell ref="C92:F92"/>
    <mergeCell ref="G92:K92"/>
  </mergeCells>
  <phoneticPr fontId="143"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28.5">
      <c r="A3" s="3160"/>
      <c r="B3" s="3160"/>
      <c r="C3" s="3160"/>
      <c r="D3" s="3161"/>
      <c r="E3" s="31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580" workbookViewId="0">
      <selection activeCell="N604" sqref="N604"/>
    </sheetView>
  </sheetViews>
  <sheetFormatPr defaultRowHeight="12"/>
  <cols>
    <col min="1" max="3" width="8.625" style="3025" customWidth="1"/>
    <col min="4" max="11" width="8.625" style="3025" hidden="1" customWidth="1"/>
    <col min="12" max="13" width="8.625" style="3025" customWidth="1"/>
    <col min="14" max="16384" width="9" style="3025"/>
  </cols>
  <sheetData>
    <row r="1" spans="1:13" s="3007" customFormat="1" ht="18.75">
      <c r="A1" s="3006"/>
      <c r="B1" s="3006" t="s">
        <v>3349</v>
      </c>
      <c r="C1" s="3006" t="s">
        <v>3350</v>
      </c>
      <c r="D1" s="3006" t="s">
        <v>3351</v>
      </c>
      <c r="E1" s="3006" t="s">
        <v>3352</v>
      </c>
      <c r="F1" s="3006" t="s">
        <v>3353</v>
      </c>
      <c r="G1" s="3006" t="s">
        <v>3354</v>
      </c>
      <c r="H1" s="3006"/>
      <c r="I1" s="3006"/>
      <c r="J1" s="3006" t="s">
        <v>3355</v>
      </c>
      <c r="K1" s="3006" t="s">
        <v>3356</v>
      </c>
      <c r="L1" s="3006" t="s">
        <v>3354</v>
      </c>
      <c r="M1" s="3006"/>
    </row>
    <row r="2" spans="1:13">
      <c r="A2" s="3024" t="s">
        <v>3084</v>
      </c>
      <c r="B2" s="3024">
        <v>2</v>
      </c>
      <c r="C2" s="3024">
        <v>-201</v>
      </c>
      <c r="D2" s="3024"/>
      <c r="E2" s="3024">
        <v>114.3</v>
      </c>
      <c r="F2" s="3024"/>
      <c r="G2" s="3024">
        <f>SUM(D2:F2)</f>
        <v>114.3</v>
      </c>
      <c r="H2" s="3024">
        <f>SUM(G2:G5)</f>
        <v>817.74</v>
      </c>
      <c r="I2" s="3024"/>
      <c r="J2" s="3024"/>
      <c r="K2" s="3024">
        <f t="shared" ref="K2:K3" si="0">G2-J2</f>
        <v>114.3</v>
      </c>
      <c r="L2" s="3024">
        <f>J2+K2</f>
        <v>114.3</v>
      </c>
      <c r="M2" s="3024"/>
    </row>
    <row r="3" spans="1:13">
      <c r="A3" s="3024"/>
      <c r="B3" s="3024"/>
      <c r="C3" s="3024">
        <v>-202</v>
      </c>
      <c r="D3" s="3024"/>
      <c r="E3" s="3024">
        <v>115.27</v>
      </c>
      <c r="F3" s="3024"/>
      <c r="G3" s="3024">
        <f>SUM(D3:F3)</f>
        <v>115.27</v>
      </c>
      <c r="H3" s="3024"/>
      <c r="I3" s="3024"/>
      <c r="J3" s="3024"/>
      <c r="K3" s="3024">
        <f t="shared" si="0"/>
        <v>115.27</v>
      </c>
      <c r="L3" s="3024">
        <f t="shared" ref="L3:L269" si="1">J3+K3</f>
        <v>115.27</v>
      </c>
      <c r="M3" s="3024"/>
    </row>
    <row r="4" spans="1:13">
      <c r="A4" s="3024"/>
      <c r="B4" s="3024"/>
      <c r="C4" s="3024">
        <v>101</v>
      </c>
      <c r="D4" s="3024">
        <v>179.02</v>
      </c>
      <c r="E4" s="3024">
        <v>114.83</v>
      </c>
      <c r="F4" s="3024"/>
      <c r="G4" s="3024">
        <f>SUM(D4:F4)</f>
        <v>293.85000000000002</v>
      </c>
      <c r="H4" s="3024"/>
      <c r="I4" s="3024"/>
      <c r="J4" s="3024">
        <f>282.56/2</f>
        <v>141.28</v>
      </c>
      <c r="K4" s="3024">
        <f>G4-J4</f>
        <v>152.57000000000002</v>
      </c>
      <c r="L4" s="3024">
        <f t="shared" si="1"/>
        <v>293.85000000000002</v>
      </c>
      <c r="M4" s="3024">
        <f>J4+J5</f>
        <v>282.56</v>
      </c>
    </row>
    <row r="5" spans="1:13">
      <c r="A5" s="3024"/>
      <c r="B5" s="3024"/>
      <c r="C5" s="3024">
        <v>102</v>
      </c>
      <c r="D5" s="3024">
        <v>179.25</v>
      </c>
      <c r="E5" s="3024">
        <v>115.07</v>
      </c>
      <c r="F5" s="3024"/>
      <c r="G5" s="3024">
        <f t="shared" ref="G5:G546" si="2">SUM(D5:F5)</f>
        <v>294.32</v>
      </c>
      <c r="H5" s="3024"/>
      <c r="I5" s="3024"/>
      <c r="J5" s="3024">
        <f>J4</f>
        <v>141.28</v>
      </c>
      <c r="K5" s="3024">
        <f t="shared" ref="K5:K295" si="3">G5-J5</f>
        <v>153.04</v>
      </c>
      <c r="L5" s="3024">
        <f t="shared" si="1"/>
        <v>294.32</v>
      </c>
      <c r="M5" s="3024"/>
    </row>
    <row r="6" spans="1:13">
      <c r="A6" s="3024" t="s">
        <v>3086</v>
      </c>
      <c r="B6" s="3024">
        <v>2</v>
      </c>
      <c r="C6" s="3024">
        <v>-201</v>
      </c>
      <c r="D6" s="3024"/>
      <c r="E6" s="3024">
        <v>114.28</v>
      </c>
      <c r="F6" s="3024"/>
      <c r="G6" s="3024">
        <f t="shared" si="2"/>
        <v>114.28</v>
      </c>
      <c r="H6" s="3024">
        <f>SUM(G6:G9)</f>
        <v>817.45</v>
      </c>
      <c r="I6" s="3024"/>
      <c r="J6" s="3024"/>
      <c r="K6" s="3024">
        <f t="shared" si="3"/>
        <v>114.28</v>
      </c>
      <c r="L6" s="3024">
        <f t="shared" si="1"/>
        <v>114.28</v>
      </c>
      <c r="M6" s="3024"/>
    </row>
    <row r="7" spans="1:13">
      <c r="A7" s="3024"/>
      <c r="B7" s="3024"/>
      <c r="C7" s="3024">
        <v>-202</v>
      </c>
      <c r="D7" s="3024"/>
      <c r="E7" s="3024">
        <v>115.26</v>
      </c>
      <c r="F7" s="3024"/>
      <c r="G7" s="3024">
        <f t="shared" si="2"/>
        <v>115.26</v>
      </c>
      <c r="H7" s="3024"/>
      <c r="I7" s="3024"/>
      <c r="J7" s="3024"/>
      <c r="K7" s="3024">
        <f t="shared" si="3"/>
        <v>115.26</v>
      </c>
      <c r="L7" s="3024">
        <f t="shared" si="1"/>
        <v>115.26</v>
      </c>
      <c r="M7" s="3024"/>
    </row>
    <row r="8" spans="1:13">
      <c r="A8" s="3024"/>
      <c r="B8" s="3024"/>
      <c r="C8" s="3024">
        <v>101</v>
      </c>
      <c r="D8" s="3024">
        <v>178.94</v>
      </c>
      <c r="E8" s="3024">
        <v>114.78</v>
      </c>
      <c r="F8" s="3024"/>
      <c r="G8" s="3024">
        <f t="shared" si="2"/>
        <v>293.72000000000003</v>
      </c>
      <c r="H8" s="3024"/>
      <c r="I8" s="3024"/>
      <c r="J8" s="3024">
        <f>282.56/2</f>
        <v>141.28</v>
      </c>
      <c r="K8" s="3024">
        <f>G8-J8</f>
        <v>152.44000000000003</v>
      </c>
      <c r="L8" s="3024">
        <f t="shared" si="1"/>
        <v>293.72000000000003</v>
      </c>
      <c r="M8" s="3024">
        <f>J8+J9</f>
        <v>282.56</v>
      </c>
    </row>
    <row r="9" spans="1:13">
      <c r="A9" s="3024"/>
      <c r="B9" s="3024"/>
      <c r="C9" s="3024">
        <v>102</v>
      </c>
      <c r="D9" s="3024">
        <v>179.16</v>
      </c>
      <c r="E9" s="3024">
        <v>115.03</v>
      </c>
      <c r="F9" s="3024"/>
      <c r="G9" s="3024">
        <f>SUM(D9:F9)</f>
        <v>294.19</v>
      </c>
      <c r="H9" s="3024"/>
      <c r="I9" s="3024"/>
      <c r="J9" s="3024">
        <f>J8</f>
        <v>141.28</v>
      </c>
      <c r="K9" s="3024">
        <f>G9-J9</f>
        <v>152.91</v>
      </c>
      <c r="L9" s="3024">
        <f t="shared" si="1"/>
        <v>294.19</v>
      </c>
      <c r="M9" s="3024"/>
    </row>
    <row r="10" spans="1:13">
      <c r="A10" s="3024" t="s">
        <v>3087</v>
      </c>
      <c r="B10" s="3024">
        <v>4</v>
      </c>
      <c r="C10" s="3024">
        <v>-201</v>
      </c>
      <c r="D10" s="3024"/>
      <c r="E10" s="3024">
        <v>83.88</v>
      </c>
      <c r="F10" s="3024"/>
      <c r="G10" s="3024">
        <f t="shared" si="2"/>
        <v>83.88</v>
      </c>
      <c r="H10" s="3024">
        <f>SUM(G10:G17)</f>
        <v>1215.04</v>
      </c>
      <c r="I10" s="3024"/>
      <c r="J10" s="3024"/>
      <c r="K10" s="3024">
        <f t="shared" si="3"/>
        <v>83.88</v>
      </c>
      <c r="L10" s="3024">
        <f t="shared" si="1"/>
        <v>83.88</v>
      </c>
      <c r="M10" s="3024"/>
    </row>
    <row r="11" spans="1:13">
      <c r="A11" s="3024"/>
      <c r="B11" s="3024"/>
      <c r="C11" s="3024">
        <v>-202</v>
      </c>
      <c r="D11" s="3024"/>
      <c r="E11" s="3024">
        <v>84.6</v>
      </c>
      <c r="F11" s="3024"/>
      <c r="G11" s="3024">
        <f t="shared" si="2"/>
        <v>84.6</v>
      </c>
      <c r="H11" s="3024"/>
      <c r="I11" s="3024"/>
      <c r="J11" s="3024"/>
      <c r="K11" s="3024">
        <f t="shared" si="3"/>
        <v>84.6</v>
      </c>
      <c r="L11" s="3024">
        <f t="shared" si="1"/>
        <v>84.6</v>
      </c>
      <c r="M11" s="3024"/>
    </row>
    <row r="12" spans="1:13">
      <c r="A12" s="3024"/>
      <c r="B12" s="3024"/>
      <c r="C12" s="3024">
        <v>-203</v>
      </c>
      <c r="D12" s="3024"/>
      <c r="E12" s="3024">
        <v>83.88</v>
      </c>
      <c r="F12" s="3024"/>
      <c r="G12" s="3024">
        <f t="shared" si="2"/>
        <v>83.88</v>
      </c>
      <c r="H12" s="3024"/>
      <c r="I12" s="3024"/>
      <c r="J12" s="3024"/>
      <c r="K12" s="3024">
        <f t="shared" si="3"/>
        <v>83.88</v>
      </c>
      <c r="L12" s="3024">
        <f t="shared" si="1"/>
        <v>83.88</v>
      </c>
      <c r="M12" s="3024"/>
    </row>
    <row r="13" spans="1:13">
      <c r="A13" s="3024"/>
      <c r="B13" s="3024"/>
      <c r="C13" s="3024">
        <v>-204</v>
      </c>
      <c r="D13" s="3024"/>
      <c r="E13" s="3024">
        <v>84.6</v>
      </c>
      <c r="F13" s="3024"/>
      <c r="G13" s="3024">
        <f t="shared" si="2"/>
        <v>84.6</v>
      </c>
      <c r="H13" s="3024"/>
      <c r="I13" s="3024"/>
      <c r="J13" s="3024"/>
      <c r="K13" s="3024">
        <f t="shared" si="3"/>
        <v>84.6</v>
      </c>
      <c r="L13" s="3024">
        <f t="shared" si="1"/>
        <v>84.6</v>
      </c>
      <c r="M13" s="3024"/>
    </row>
    <row r="14" spans="1:13">
      <c r="A14" s="3024"/>
      <c r="B14" s="3024"/>
      <c r="C14" s="3024">
        <v>101</v>
      </c>
      <c r="D14" s="3024">
        <v>134.63999999999999</v>
      </c>
      <c r="E14" s="3024">
        <v>84.58</v>
      </c>
      <c r="F14" s="3024"/>
      <c r="G14" s="3024">
        <f>SUM(D14:F14)</f>
        <v>219.21999999999997</v>
      </c>
      <c r="H14" s="3024"/>
      <c r="I14" s="3024"/>
      <c r="J14" s="3024">
        <f>ROUND(435.56/4,2)</f>
        <v>108.89</v>
      </c>
      <c r="K14" s="3024">
        <f t="shared" si="3"/>
        <v>110.32999999999997</v>
      </c>
      <c r="L14" s="3024">
        <f>J14+K14</f>
        <v>219.21999999999997</v>
      </c>
      <c r="M14" s="3024">
        <f>J14+J15+J16+J17</f>
        <v>435.56</v>
      </c>
    </row>
    <row r="15" spans="1:13">
      <c r="A15" s="3024"/>
      <c r="B15" s="3024"/>
      <c r="C15" s="3024">
        <v>102</v>
      </c>
      <c r="D15" s="3024">
        <v>134.83000000000001</v>
      </c>
      <c r="E15" s="3024">
        <v>84.99</v>
      </c>
      <c r="F15" s="3024"/>
      <c r="G15" s="3024">
        <f t="shared" si="2"/>
        <v>219.82</v>
      </c>
      <c r="H15" s="3024"/>
      <c r="I15" s="3024"/>
      <c r="J15" s="3024">
        <f>J14</f>
        <v>108.89</v>
      </c>
      <c r="K15" s="3024">
        <f t="shared" si="3"/>
        <v>110.92999999999999</v>
      </c>
      <c r="L15" s="3024">
        <f t="shared" si="1"/>
        <v>219.82</v>
      </c>
      <c r="M15" s="3024"/>
    </row>
    <row r="16" spans="1:13">
      <c r="A16" s="3024"/>
      <c r="B16" s="3024"/>
      <c r="C16" s="3024">
        <v>103</v>
      </c>
      <c r="D16" s="3024">
        <v>134.63999999999999</v>
      </c>
      <c r="E16" s="3024">
        <v>84.58</v>
      </c>
      <c r="F16" s="3024"/>
      <c r="G16" s="3024">
        <f t="shared" si="2"/>
        <v>219.21999999999997</v>
      </c>
      <c r="H16" s="3024"/>
      <c r="I16" s="3024"/>
      <c r="J16" s="3024">
        <f>J14</f>
        <v>108.89</v>
      </c>
      <c r="K16" s="3024">
        <f t="shared" si="3"/>
        <v>110.32999999999997</v>
      </c>
      <c r="L16" s="3024">
        <f t="shared" si="1"/>
        <v>219.21999999999997</v>
      </c>
      <c r="M16" s="3024"/>
    </row>
    <row r="17" spans="1:13">
      <c r="A17" s="3024"/>
      <c r="B17" s="3024"/>
      <c r="C17" s="3024">
        <v>104</v>
      </c>
      <c r="D17" s="3024">
        <v>134.83000000000001</v>
      </c>
      <c r="E17" s="3024">
        <v>84.99</v>
      </c>
      <c r="F17" s="3024"/>
      <c r="G17" s="3024">
        <f t="shared" si="2"/>
        <v>219.82</v>
      </c>
      <c r="H17" s="3024"/>
      <c r="I17" s="3024"/>
      <c r="J17" s="3024">
        <f>J14</f>
        <v>108.89</v>
      </c>
      <c r="K17" s="3024">
        <f t="shared" si="3"/>
        <v>110.92999999999999</v>
      </c>
      <c r="L17" s="3024">
        <f t="shared" si="1"/>
        <v>219.82</v>
      </c>
      <c r="M17" s="3024"/>
    </row>
    <row r="18" spans="1:13">
      <c r="A18" s="3024" t="s">
        <v>3088</v>
      </c>
      <c r="B18" s="3024">
        <v>6</v>
      </c>
      <c r="C18" s="3024">
        <v>-201</v>
      </c>
      <c r="D18" s="3024"/>
      <c r="E18" s="3024">
        <v>83.43</v>
      </c>
      <c r="F18" s="3024"/>
      <c r="G18" s="3024">
        <f t="shared" si="2"/>
        <v>83.43</v>
      </c>
      <c r="H18" s="3024">
        <f>SUM(G18:G29)</f>
        <v>1815.6799999999998</v>
      </c>
      <c r="I18" s="3024"/>
      <c r="J18" s="3024"/>
      <c r="K18" s="3024">
        <f t="shared" si="3"/>
        <v>83.43</v>
      </c>
      <c r="L18" s="3024">
        <f t="shared" si="1"/>
        <v>83.43</v>
      </c>
      <c r="M18" s="3024"/>
    </row>
    <row r="19" spans="1:13">
      <c r="A19" s="3024"/>
      <c r="B19" s="3024"/>
      <c r="C19" s="3024">
        <v>-202</v>
      </c>
      <c r="D19" s="3024"/>
      <c r="E19" s="3024">
        <v>84.15</v>
      </c>
      <c r="F19" s="3024"/>
      <c r="G19" s="3024">
        <f t="shared" si="2"/>
        <v>84.15</v>
      </c>
      <c r="H19" s="3024"/>
      <c r="I19" s="3024"/>
      <c r="J19" s="3024"/>
      <c r="K19" s="3024">
        <f t="shared" si="3"/>
        <v>84.15</v>
      </c>
      <c r="L19" s="3024">
        <f t="shared" si="1"/>
        <v>84.15</v>
      </c>
      <c r="M19" s="3024"/>
    </row>
    <row r="20" spans="1:13">
      <c r="A20" s="3024"/>
      <c r="B20" s="3024"/>
      <c r="C20" s="3024">
        <v>-203</v>
      </c>
      <c r="D20" s="3024"/>
      <c r="E20" s="3024">
        <v>84.15</v>
      </c>
      <c r="F20" s="3024"/>
      <c r="G20" s="3024">
        <f t="shared" si="2"/>
        <v>84.15</v>
      </c>
      <c r="H20" s="3024"/>
      <c r="I20" s="3024"/>
      <c r="J20" s="3024"/>
      <c r="K20" s="3024">
        <f t="shared" si="3"/>
        <v>84.15</v>
      </c>
      <c r="L20" s="3024">
        <f t="shared" si="1"/>
        <v>84.15</v>
      </c>
      <c r="M20" s="3024"/>
    </row>
    <row r="21" spans="1:13">
      <c r="A21" s="3024"/>
      <c r="B21" s="3024"/>
      <c r="C21" s="3024">
        <v>-204</v>
      </c>
      <c r="D21" s="3024"/>
      <c r="E21" s="3024">
        <v>83.43</v>
      </c>
      <c r="F21" s="3024"/>
      <c r="G21" s="3024">
        <f t="shared" si="2"/>
        <v>83.43</v>
      </c>
      <c r="H21" s="3024"/>
      <c r="I21" s="3024"/>
      <c r="J21" s="3024"/>
      <c r="K21" s="3024">
        <f t="shared" si="3"/>
        <v>83.43</v>
      </c>
      <c r="L21" s="3024">
        <f t="shared" si="1"/>
        <v>83.43</v>
      </c>
      <c r="M21" s="3024"/>
    </row>
    <row r="22" spans="1:13">
      <c r="A22" s="3024"/>
      <c r="B22" s="3024"/>
      <c r="C22" s="3024">
        <v>-205</v>
      </c>
      <c r="D22" s="3024"/>
      <c r="E22" s="3024">
        <v>84.15</v>
      </c>
      <c r="F22" s="3024"/>
      <c r="G22" s="3024">
        <f t="shared" si="2"/>
        <v>84.15</v>
      </c>
      <c r="H22" s="3024"/>
      <c r="I22" s="3024"/>
      <c r="J22" s="3024"/>
      <c r="K22" s="3024">
        <f t="shared" si="3"/>
        <v>84.15</v>
      </c>
      <c r="L22" s="3024">
        <f t="shared" si="1"/>
        <v>84.15</v>
      </c>
      <c r="M22" s="3024"/>
    </row>
    <row r="23" spans="1:13">
      <c r="A23" s="3024"/>
      <c r="B23" s="3024"/>
      <c r="C23" s="3024">
        <v>-206</v>
      </c>
      <c r="D23" s="3024"/>
      <c r="E23" s="3024">
        <v>84.15</v>
      </c>
      <c r="F23" s="3024"/>
      <c r="G23" s="3024">
        <f t="shared" si="2"/>
        <v>84.15</v>
      </c>
      <c r="H23" s="3024"/>
      <c r="I23" s="3024"/>
      <c r="J23" s="3024"/>
      <c r="K23" s="3024">
        <f t="shared" si="3"/>
        <v>84.15</v>
      </c>
      <c r="L23" s="3024">
        <f t="shared" si="1"/>
        <v>84.15</v>
      </c>
      <c r="M23" s="3024"/>
    </row>
    <row r="24" spans="1:13">
      <c r="A24" s="3024"/>
      <c r="B24" s="3024"/>
      <c r="C24" s="3024">
        <v>101</v>
      </c>
      <c r="D24" s="3024">
        <v>134.18</v>
      </c>
      <c r="E24" s="3024">
        <v>84.28</v>
      </c>
      <c r="F24" s="3024"/>
      <c r="G24" s="3024">
        <f t="shared" si="2"/>
        <v>218.46</v>
      </c>
      <c r="H24" s="3024"/>
      <c r="I24" s="3024"/>
      <c r="J24" s="3026">
        <f>ROUND(652.01/6,2)</f>
        <v>108.67</v>
      </c>
      <c r="K24" s="3024">
        <f t="shared" si="3"/>
        <v>109.79</v>
      </c>
      <c r="L24" s="3024">
        <f t="shared" si="1"/>
        <v>218.46</v>
      </c>
      <c r="M24" s="3027">
        <f>J24+J25+J26+J27+J28+J29</f>
        <v>652.01</v>
      </c>
    </row>
    <row r="25" spans="1:13">
      <c r="A25" s="3024"/>
      <c r="B25" s="3024"/>
      <c r="C25" s="3024">
        <v>102</v>
      </c>
      <c r="D25" s="3024">
        <v>134.16999999999999</v>
      </c>
      <c r="E25" s="3024">
        <v>84.42</v>
      </c>
      <c r="F25" s="3024"/>
      <c r="G25" s="3024">
        <f t="shared" si="2"/>
        <v>218.58999999999997</v>
      </c>
      <c r="H25" s="3024"/>
      <c r="I25" s="3024"/>
      <c r="J25" s="3026">
        <f>J24</f>
        <v>108.67</v>
      </c>
      <c r="K25" s="3024">
        <f t="shared" si="3"/>
        <v>109.91999999999997</v>
      </c>
      <c r="L25" s="3024">
        <f t="shared" si="1"/>
        <v>218.58999999999997</v>
      </c>
      <c r="M25" s="3024"/>
    </row>
    <row r="26" spans="1:13">
      <c r="A26" s="3024"/>
      <c r="B26" s="3024"/>
      <c r="C26" s="3024">
        <v>103</v>
      </c>
      <c r="D26" s="3024">
        <v>134.36000000000001</v>
      </c>
      <c r="E26" s="3024">
        <v>84.7</v>
      </c>
      <c r="F26" s="3024"/>
      <c r="G26" s="3024">
        <f t="shared" si="2"/>
        <v>219.06</v>
      </c>
      <c r="H26" s="3024"/>
      <c r="I26" s="3024"/>
      <c r="J26" s="3026">
        <f>J24</f>
        <v>108.67</v>
      </c>
      <c r="K26" s="3024">
        <f t="shared" si="3"/>
        <v>110.39</v>
      </c>
      <c r="L26" s="3024">
        <f t="shared" si="1"/>
        <v>219.06</v>
      </c>
      <c r="M26" s="3024"/>
    </row>
    <row r="27" spans="1:13" ht="15" customHeight="1">
      <c r="A27" s="3024"/>
      <c r="B27" s="3024"/>
      <c r="C27" s="3024">
        <v>104</v>
      </c>
      <c r="D27" s="3024">
        <v>134.18</v>
      </c>
      <c r="E27" s="3024">
        <v>84.28</v>
      </c>
      <c r="F27" s="3024"/>
      <c r="G27" s="3024">
        <f t="shared" si="2"/>
        <v>218.46</v>
      </c>
      <c r="H27" s="3024"/>
      <c r="I27" s="3024"/>
      <c r="J27" s="3026">
        <f>J24</f>
        <v>108.67</v>
      </c>
      <c r="K27" s="3024">
        <f t="shared" si="3"/>
        <v>109.79</v>
      </c>
      <c r="L27" s="3024">
        <f t="shared" si="1"/>
        <v>218.46</v>
      </c>
      <c r="M27" s="3024"/>
    </row>
    <row r="28" spans="1:13">
      <c r="A28" s="3024"/>
      <c r="B28" s="3024"/>
      <c r="C28" s="3024">
        <v>105</v>
      </c>
      <c r="D28" s="3024">
        <v>134.16999999999999</v>
      </c>
      <c r="E28" s="3024">
        <v>84.42</v>
      </c>
      <c r="F28" s="3024"/>
      <c r="G28" s="3024">
        <f t="shared" si="2"/>
        <v>218.58999999999997</v>
      </c>
      <c r="H28" s="3024"/>
      <c r="I28" s="3024"/>
      <c r="J28" s="3026">
        <f>J24</f>
        <v>108.67</v>
      </c>
      <c r="K28" s="3024">
        <f t="shared" si="3"/>
        <v>109.91999999999997</v>
      </c>
      <c r="L28" s="3024">
        <f t="shared" si="1"/>
        <v>218.58999999999997</v>
      </c>
      <c r="M28" s="3024"/>
    </row>
    <row r="29" spans="1:13">
      <c r="A29" s="3024"/>
      <c r="B29" s="3024"/>
      <c r="C29" s="3024">
        <v>106</v>
      </c>
      <c r="D29" s="3024">
        <v>134.36000000000001</v>
      </c>
      <c r="E29" s="3024">
        <v>84.7</v>
      </c>
      <c r="F29" s="3024"/>
      <c r="G29" s="3024">
        <f>SUM(D29:F29)</f>
        <v>219.06</v>
      </c>
      <c r="H29" s="3024"/>
      <c r="I29" s="3024"/>
      <c r="J29" s="3026">
        <v>108.66</v>
      </c>
      <c r="K29" s="3024">
        <f t="shared" si="3"/>
        <v>110.4</v>
      </c>
      <c r="L29" s="3024">
        <f t="shared" si="1"/>
        <v>219.06</v>
      </c>
      <c r="M29" s="3024"/>
    </row>
    <row r="30" spans="1:13">
      <c r="A30" s="3024" t="s">
        <v>3089</v>
      </c>
      <c r="B30" s="3024">
        <v>6</v>
      </c>
      <c r="C30" s="3024">
        <v>-201</v>
      </c>
      <c r="D30" s="3024"/>
      <c r="E30" s="3024">
        <v>83.44</v>
      </c>
      <c r="F30" s="3024"/>
      <c r="G30" s="3024">
        <f t="shared" si="2"/>
        <v>83.44</v>
      </c>
      <c r="H30" s="3024">
        <f>SUM(G30:G41)</f>
        <v>1816.2400000000002</v>
      </c>
      <c r="I30" s="3024"/>
      <c r="J30" s="3024"/>
      <c r="K30" s="3024">
        <f t="shared" si="3"/>
        <v>83.44</v>
      </c>
      <c r="L30" s="3024">
        <f t="shared" si="1"/>
        <v>83.44</v>
      </c>
      <c r="M30" s="3024"/>
    </row>
    <row r="31" spans="1:13">
      <c r="A31" s="3024"/>
      <c r="B31" s="3024"/>
      <c r="C31" s="3024">
        <v>-202</v>
      </c>
      <c r="D31" s="3024"/>
      <c r="E31" s="3024">
        <v>84.16</v>
      </c>
      <c r="F31" s="3024"/>
      <c r="G31" s="3024">
        <f t="shared" si="2"/>
        <v>84.16</v>
      </c>
      <c r="H31" s="3024"/>
      <c r="I31" s="3024"/>
      <c r="J31" s="3024"/>
      <c r="K31" s="3024">
        <f t="shared" si="3"/>
        <v>84.16</v>
      </c>
      <c r="L31" s="3024">
        <f t="shared" si="1"/>
        <v>84.16</v>
      </c>
      <c r="M31" s="3024"/>
    </row>
    <row r="32" spans="1:13">
      <c r="A32" s="3024"/>
      <c r="B32" s="3024"/>
      <c r="C32" s="3024">
        <v>-203</v>
      </c>
      <c r="D32" s="3024"/>
      <c r="E32" s="3024">
        <v>84.16</v>
      </c>
      <c r="F32" s="3024"/>
      <c r="G32" s="3024">
        <f t="shared" si="2"/>
        <v>84.16</v>
      </c>
      <c r="H32" s="3024"/>
      <c r="I32" s="3024"/>
      <c r="J32" s="3024"/>
      <c r="K32" s="3024">
        <f t="shared" si="3"/>
        <v>84.16</v>
      </c>
      <c r="L32" s="3024">
        <f t="shared" si="1"/>
        <v>84.16</v>
      </c>
      <c r="M32" s="3024"/>
    </row>
    <row r="33" spans="1:13">
      <c r="A33" s="3024"/>
      <c r="B33" s="3024"/>
      <c r="C33" s="3024">
        <v>-204</v>
      </c>
      <c r="D33" s="3024"/>
      <c r="E33" s="3024">
        <v>83.44</v>
      </c>
      <c r="F33" s="3024"/>
      <c r="G33" s="3024">
        <f t="shared" si="2"/>
        <v>83.44</v>
      </c>
      <c r="H33" s="3024"/>
      <c r="I33" s="3024"/>
      <c r="J33" s="3024"/>
      <c r="K33" s="3024">
        <f t="shared" si="3"/>
        <v>83.44</v>
      </c>
      <c r="L33" s="3024">
        <f t="shared" si="1"/>
        <v>83.44</v>
      </c>
      <c r="M33" s="3024"/>
    </row>
    <row r="34" spans="1:13">
      <c r="A34" s="3024"/>
      <c r="B34" s="3024"/>
      <c r="C34" s="3024">
        <v>-205</v>
      </c>
      <c r="D34" s="3024"/>
      <c r="E34" s="3024">
        <v>84.16</v>
      </c>
      <c r="F34" s="3024"/>
      <c r="G34" s="3024">
        <f t="shared" si="2"/>
        <v>84.16</v>
      </c>
      <c r="H34" s="3024"/>
      <c r="I34" s="3024"/>
      <c r="J34" s="3024"/>
      <c r="K34" s="3024">
        <f t="shared" si="3"/>
        <v>84.16</v>
      </c>
      <c r="L34" s="3024">
        <f t="shared" si="1"/>
        <v>84.16</v>
      </c>
      <c r="M34" s="3024"/>
    </row>
    <row r="35" spans="1:13">
      <c r="A35" s="3024"/>
      <c r="B35" s="3024"/>
      <c r="C35" s="3024">
        <v>-206</v>
      </c>
      <c r="D35" s="3024"/>
      <c r="E35" s="3024">
        <v>84.16</v>
      </c>
      <c r="F35" s="3024"/>
      <c r="G35" s="3024">
        <f t="shared" si="2"/>
        <v>84.16</v>
      </c>
      <c r="H35" s="3024"/>
      <c r="I35" s="3024"/>
      <c r="J35" s="3024"/>
      <c r="K35" s="3024">
        <f t="shared" si="3"/>
        <v>84.16</v>
      </c>
      <c r="L35" s="3024">
        <f t="shared" si="1"/>
        <v>84.16</v>
      </c>
      <c r="M35" s="3024"/>
    </row>
    <row r="36" spans="1:13">
      <c r="A36" s="3024"/>
      <c r="B36" s="3024"/>
      <c r="C36" s="3024">
        <v>101</v>
      </c>
      <c r="D36" s="3024">
        <v>134.22</v>
      </c>
      <c r="E36" s="3024">
        <v>84.32</v>
      </c>
      <c r="F36" s="3024"/>
      <c r="G36" s="3024">
        <f t="shared" si="2"/>
        <v>218.54</v>
      </c>
      <c r="H36" s="3024"/>
      <c r="I36" s="3024"/>
      <c r="J36" s="3024">
        <v>108.67</v>
      </c>
      <c r="K36" s="3024">
        <f t="shared" si="3"/>
        <v>109.86999999999999</v>
      </c>
      <c r="L36" s="3024">
        <f t="shared" si="1"/>
        <v>218.54</v>
      </c>
      <c r="M36" s="3024">
        <f>J36+J37+J38+J39+J40+J41</f>
        <v>652.01</v>
      </c>
    </row>
    <row r="37" spans="1:13">
      <c r="A37" s="3024"/>
      <c r="B37" s="3024"/>
      <c r="C37" s="3024">
        <v>102</v>
      </c>
      <c r="D37" s="3024">
        <v>134.22</v>
      </c>
      <c r="E37" s="3024">
        <v>84.46</v>
      </c>
      <c r="F37" s="3024"/>
      <c r="G37" s="3024">
        <f t="shared" si="2"/>
        <v>218.68</v>
      </c>
      <c r="H37" s="3024"/>
      <c r="I37" s="3024"/>
      <c r="J37" s="3024">
        <f>J36</f>
        <v>108.67</v>
      </c>
      <c r="K37" s="3024">
        <f t="shared" si="3"/>
        <v>110.01</v>
      </c>
      <c r="L37" s="3024">
        <f t="shared" si="1"/>
        <v>218.68</v>
      </c>
      <c r="M37" s="3024"/>
    </row>
    <row r="38" spans="1:13">
      <c r="A38" s="3024"/>
      <c r="B38" s="3024"/>
      <c r="C38" s="3024">
        <v>103</v>
      </c>
      <c r="D38" s="3024">
        <v>134.41</v>
      </c>
      <c r="E38" s="3024">
        <v>84.73</v>
      </c>
      <c r="F38" s="3024"/>
      <c r="G38" s="3024">
        <f t="shared" si="2"/>
        <v>219.14</v>
      </c>
      <c r="H38" s="3024"/>
      <c r="I38" s="3024"/>
      <c r="J38" s="3024">
        <f>J36</f>
        <v>108.67</v>
      </c>
      <c r="K38" s="3024">
        <f t="shared" si="3"/>
        <v>110.46999999999998</v>
      </c>
      <c r="L38" s="3024">
        <f t="shared" si="1"/>
        <v>219.14</v>
      </c>
      <c r="M38" s="3024"/>
    </row>
    <row r="39" spans="1:13">
      <c r="A39" s="3024"/>
      <c r="B39" s="3024"/>
      <c r="C39" s="3024">
        <v>104</v>
      </c>
      <c r="D39" s="3024">
        <v>134.22</v>
      </c>
      <c r="E39" s="3024">
        <v>84.32</v>
      </c>
      <c r="F39" s="3024"/>
      <c r="G39" s="3024">
        <f t="shared" si="2"/>
        <v>218.54</v>
      </c>
      <c r="H39" s="3024"/>
      <c r="I39" s="3024"/>
      <c r="J39" s="3024">
        <f>J36</f>
        <v>108.67</v>
      </c>
      <c r="K39" s="3024">
        <f t="shared" si="3"/>
        <v>109.86999999999999</v>
      </c>
      <c r="L39" s="3024">
        <f t="shared" si="1"/>
        <v>218.54</v>
      </c>
      <c r="M39" s="3024"/>
    </row>
    <row r="40" spans="1:13">
      <c r="A40" s="3024"/>
      <c r="B40" s="3024"/>
      <c r="C40" s="3024">
        <v>105</v>
      </c>
      <c r="D40" s="3024">
        <v>134.22</v>
      </c>
      <c r="E40" s="3024">
        <v>84.46</v>
      </c>
      <c r="F40" s="3024"/>
      <c r="G40" s="3024">
        <f t="shared" si="2"/>
        <v>218.68</v>
      </c>
      <c r="H40" s="3024"/>
      <c r="I40" s="3024"/>
      <c r="J40" s="3024">
        <f>J36</f>
        <v>108.67</v>
      </c>
      <c r="K40" s="3024">
        <f t="shared" si="3"/>
        <v>110.01</v>
      </c>
      <c r="L40" s="3024">
        <f t="shared" si="1"/>
        <v>218.68</v>
      </c>
      <c r="M40" s="3024"/>
    </row>
    <row r="41" spans="1:13">
      <c r="A41" s="3024"/>
      <c r="B41" s="3024"/>
      <c r="C41" s="3024">
        <v>106</v>
      </c>
      <c r="D41" s="3024">
        <v>134.41</v>
      </c>
      <c r="E41" s="3024">
        <v>84.73</v>
      </c>
      <c r="F41" s="3024"/>
      <c r="G41" s="3024">
        <f>SUM(D41:F41)</f>
        <v>219.14</v>
      </c>
      <c r="H41" s="3024"/>
      <c r="I41" s="3024"/>
      <c r="J41" s="3024">
        <v>108.66</v>
      </c>
      <c r="K41" s="3024">
        <f t="shared" si="3"/>
        <v>110.47999999999999</v>
      </c>
      <c r="L41" s="3024">
        <f t="shared" si="1"/>
        <v>219.14</v>
      </c>
      <c r="M41" s="3024"/>
    </row>
    <row r="42" spans="1:13">
      <c r="A42" s="3024" t="s">
        <v>3060</v>
      </c>
      <c r="B42" s="3024">
        <v>4</v>
      </c>
      <c r="C42" s="3024">
        <v>-201</v>
      </c>
      <c r="D42" s="3024"/>
      <c r="E42" s="3024">
        <v>83.88</v>
      </c>
      <c r="F42" s="3024"/>
      <c r="G42" s="3024">
        <f t="shared" si="2"/>
        <v>83.88</v>
      </c>
      <c r="H42" s="3024">
        <f>SUM(G42:G49)</f>
        <v>1215.04</v>
      </c>
      <c r="I42" s="3024"/>
      <c r="J42" s="3024"/>
      <c r="K42" s="3024">
        <f t="shared" si="3"/>
        <v>83.88</v>
      </c>
      <c r="L42" s="3024">
        <f t="shared" si="1"/>
        <v>83.88</v>
      </c>
      <c r="M42" s="3024"/>
    </row>
    <row r="43" spans="1:13">
      <c r="A43" s="3024"/>
      <c r="B43" s="3024"/>
      <c r="C43" s="3024">
        <v>-202</v>
      </c>
      <c r="D43" s="3024"/>
      <c r="E43" s="3024">
        <v>84.6</v>
      </c>
      <c r="F43" s="3024"/>
      <c r="G43" s="3024">
        <f t="shared" si="2"/>
        <v>84.6</v>
      </c>
      <c r="H43" s="3024"/>
      <c r="I43" s="3024"/>
      <c r="J43" s="3024"/>
      <c r="K43" s="3024">
        <f t="shared" si="3"/>
        <v>84.6</v>
      </c>
      <c r="L43" s="3024">
        <f t="shared" si="1"/>
        <v>84.6</v>
      </c>
      <c r="M43" s="3024"/>
    </row>
    <row r="44" spans="1:13">
      <c r="A44" s="3024"/>
      <c r="B44" s="3024"/>
      <c r="C44" s="3024">
        <v>-203</v>
      </c>
      <c r="D44" s="3024"/>
      <c r="E44" s="3024">
        <v>83.88</v>
      </c>
      <c r="F44" s="3024"/>
      <c r="G44" s="3024">
        <f t="shared" si="2"/>
        <v>83.88</v>
      </c>
      <c r="H44" s="3024"/>
      <c r="I44" s="3024"/>
      <c r="J44" s="3024"/>
      <c r="K44" s="3024">
        <f t="shared" si="3"/>
        <v>83.88</v>
      </c>
      <c r="L44" s="3024">
        <f t="shared" si="1"/>
        <v>83.88</v>
      </c>
      <c r="M44" s="3024"/>
    </row>
    <row r="45" spans="1:13">
      <c r="A45" s="3024"/>
      <c r="B45" s="3024"/>
      <c r="C45" s="3024">
        <v>-204</v>
      </c>
      <c r="D45" s="3024"/>
      <c r="E45" s="3024">
        <v>84.6</v>
      </c>
      <c r="F45" s="3024"/>
      <c r="G45" s="3024">
        <f t="shared" si="2"/>
        <v>84.6</v>
      </c>
      <c r="H45" s="3024"/>
      <c r="I45" s="3024"/>
      <c r="J45" s="3024"/>
      <c r="K45" s="3024">
        <f t="shared" si="3"/>
        <v>84.6</v>
      </c>
      <c r="L45" s="3024">
        <f t="shared" si="1"/>
        <v>84.6</v>
      </c>
      <c r="M45" s="3024"/>
    </row>
    <row r="46" spans="1:13">
      <c r="A46" s="3024"/>
      <c r="B46" s="3024"/>
      <c r="C46" s="3024">
        <v>101</v>
      </c>
      <c r="D46" s="3024">
        <v>134.63999999999999</v>
      </c>
      <c r="E46" s="3024">
        <v>84.58</v>
      </c>
      <c r="F46" s="3024"/>
      <c r="G46" s="3024">
        <f t="shared" si="2"/>
        <v>219.21999999999997</v>
      </c>
      <c r="H46" s="3024"/>
      <c r="I46" s="3024"/>
      <c r="J46" s="3024">
        <f>435.56/4</f>
        <v>108.89</v>
      </c>
      <c r="K46" s="3024">
        <f t="shared" si="3"/>
        <v>110.32999999999997</v>
      </c>
      <c r="L46" s="3024">
        <f t="shared" si="1"/>
        <v>219.21999999999997</v>
      </c>
      <c r="M46" s="3024">
        <f>J46+J47+J48+J49</f>
        <v>435.56</v>
      </c>
    </row>
    <row r="47" spans="1:13">
      <c r="A47" s="3024"/>
      <c r="B47" s="3024"/>
      <c r="C47" s="3024">
        <v>102</v>
      </c>
      <c r="D47" s="3024">
        <v>134.83000000000001</v>
      </c>
      <c r="E47" s="3024">
        <v>84.99</v>
      </c>
      <c r="F47" s="3024"/>
      <c r="G47" s="3024">
        <f t="shared" si="2"/>
        <v>219.82</v>
      </c>
      <c r="H47" s="3024"/>
      <c r="I47" s="3024"/>
      <c r="J47" s="3024">
        <f>J46</f>
        <v>108.89</v>
      </c>
      <c r="K47" s="3024">
        <f t="shared" si="3"/>
        <v>110.92999999999999</v>
      </c>
      <c r="L47" s="3024">
        <f t="shared" si="1"/>
        <v>219.82</v>
      </c>
      <c r="M47" s="3024"/>
    </row>
    <row r="48" spans="1:13">
      <c r="A48" s="3024"/>
      <c r="B48" s="3024"/>
      <c r="C48" s="3024">
        <v>103</v>
      </c>
      <c r="D48" s="3024">
        <v>134.63999999999999</v>
      </c>
      <c r="E48" s="3024">
        <v>84.58</v>
      </c>
      <c r="F48" s="3024"/>
      <c r="G48" s="3024">
        <f t="shared" si="2"/>
        <v>219.21999999999997</v>
      </c>
      <c r="H48" s="3024"/>
      <c r="I48" s="3024"/>
      <c r="J48" s="3024">
        <f>J46</f>
        <v>108.89</v>
      </c>
      <c r="K48" s="3024">
        <f t="shared" si="3"/>
        <v>110.32999999999997</v>
      </c>
      <c r="L48" s="3024">
        <f t="shared" si="1"/>
        <v>219.21999999999997</v>
      </c>
      <c r="M48" s="3024"/>
    </row>
    <row r="49" spans="1:13">
      <c r="A49" s="3024"/>
      <c r="B49" s="3024"/>
      <c r="C49" s="3024">
        <v>104</v>
      </c>
      <c r="D49" s="3024">
        <v>134.83000000000001</v>
      </c>
      <c r="E49" s="3024">
        <v>84.99</v>
      </c>
      <c r="F49" s="3024"/>
      <c r="G49" s="3024">
        <f t="shared" si="2"/>
        <v>219.82</v>
      </c>
      <c r="H49" s="3024"/>
      <c r="I49" s="3024"/>
      <c r="J49" s="3024">
        <f>J46</f>
        <v>108.89</v>
      </c>
      <c r="K49" s="3024">
        <f t="shared" si="3"/>
        <v>110.92999999999999</v>
      </c>
      <c r="L49" s="3024">
        <f>J49+K49</f>
        <v>219.82</v>
      </c>
      <c r="M49" s="3024"/>
    </row>
    <row r="50" spans="1:13">
      <c r="A50" s="3024" t="s">
        <v>3090</v>
      </c>
      <c r="B50" s="3024">
        <v>6</v>
      </c>
      <c r="C50" s="3024">
        <v>-201</v>
      </c>
      <c r="D50" s="3024"/>
      <c r="E50" s="3024">
        <v>83.63</v>
      </c>
      <c r="F50" s="3024"/>
      <c r="G50" s="3024">
        <f t="shared" si="2"/>
        <v>83.63</v>
      </c>
      <c r="H50" s="3024">
        <f>SUM(G50:G61)</f>
        <v>1817.9800000000002</v>
      </c>
      <c r="I50" s="3024"/>
      <c r="J50" s="3024"/>
      <c r="K50" s="3024">
        <f t="shared" si="3"/>
        <v>83.63</v>
      </c>
      <c r="L50" s="3024">
        <f t="shared" si="1"/>
        <v>83.63</v>
      </c>
      <c r="M50" s="3024"/>
    </row>
    <row r="51" spans="1:13">
      <c r="A51" s="3024"/>
      <c r="B51" s="3024"/>
      <c r="C51" s="3024">
        <v>-202</v>
      </c>
      <c r="D51" s="3024"/>
      <c r="E51" s="3024">
        <v>84.36</v>
      </c>
      <c r="F51" s="3024"/>
      <c r="G51" s="3024">
        <f t="shared" si="2"/>
        <v>84.36</v>
      </c>
      <c r="H51" s="3024"/>
      <c r="I51" s="3024"/>
      <c r="J51" s="3024"/>
      <c r="K51" s="3024">
        <f t="shared" si="3"/>
        <v>84.36</v>
      </c>
      <c r="L51" s="3024">
        <f t="shared" si="1"/>
        <v>84.36</v>
      </c>
      <c r="M51" s="3024"/>
    </row>
    <row r="52" spans="1:13">
      <c r="A52" s="3024"/>
      <c r="B52" s="3024"/>
      <c r="C52" s="3024">
        <v>-203</v>
      </c>
      <c r="D52" s="3024"/>
      <c r="E52" s="3024">
        <v>84.36</v>
      </c>
      <c r="F52" s="3024"/>
      <c r="G52" s="3024">
        <f t="shared" si="2"/>
        <v>84.36</v>
      </c>
      <c r="H52" s="3024"/>
      <c r="I52" s="3024"/>
      <c r="J52" s="3024"/>
      <c r="K52" s="3024">
        <f t="shared" si="3"/>
        <v>84.36</v>
      </c>
      <c r="L52" s="3024">
        <f t="shared" si="1"/>
        <v>84.36</v>
      </c>
      <c r="M52" s="3024"/>
    </row>
    <row r="53" spans="1:13">
      <c r="A53" s="3024"/>
      <c r="B53" s="3024"/>
      <c r="C53" s="3024">
        <v>-204</v>
      </c>
      <c r="D53" s="3024"/>
      <c r="E53" s="3024">
        <v>83.63</v>
      </c>
      <c r="F53" s="3024"/>
      <c r="G53" s="3024">
        <f t="shared" si="2"/>
        <v>83.63</v>
      </c>
      <c r="H53" s="3024"/>
      <c r="I53" s="3024"/>
      <c r="J53" s="3024"/>
      <c r="K53" s="3024">
        <f t="shared" si="3"/>
        <v>83.63</v>
      </c>
      <c r="L53" s="3024">
        <f t="shared" si="1"/>
        <v>83.63</v>
      </c>
      <c r="M53" s="3024"/>
    </row>
    <row r="54" spans="1:13">
      <c r="A54" s="3024"/>
      <c r="B54" s="3024"/>
      <c r="C54" s="3024">
        <v>-205</v>
      </c>
      <c r="D54" s="3024"/>
      <c r="E54" s="3024">
        <v>84.36</v>
      </c>
      <c r="F54" s="3024"/>
      <c r="G54" s="3024">
        <f t="shared" si="2"/>
        <v>84.36</v>
      </c>
      <c r="H54" s="3024"/>
      <c r="I54" s="3024"/>
      <c r="J54" s="3024"/>
      <c r="K54" s="3024">
        <f t="shared" si="3"/>
        <v>84.36</v>
      </c>
      <c r="L54" s="3024">
        <f t="shared" si="1"/>
        <v>84.36</v>
      </c>
      <c r="M54" s="3024"/>
    </row>
    <row r="55" spans="1:13">
      <c r="A55" s="3024"/>
      <c r="B55" s="3024"/>
      <c r="C55" s="3024">
        <v>-206</v>
      </c>
      <c r="D55" s="3024"/>
      <c r="E55" s="3024">
        <v>84.36</v>
      </c>
      <c r="F55" s="3024"/>
      <c r="G55" s="3024">
        <f t="shared" si="2"/>
        <v>84.36</v>
      </c>
      <c r="H55" s="3024"/>
      <c r="I55" s="3024"/>
      <c r="J55" s="3024"/>
      <c r="K55" s="3024">
        <f t="shared" si="3"/>
        <v>84.36</v>
      </c>
      <c r="L55" s="3024">
        <f t="shared" si="1"/>
        <v>84.36</v>
      </c>
      <c r="M55" s="3024"/>
    </row>
    <row r="56" spans="1:13">
      <c r="A56" s="3024"/>
      <c r="B56" s="3024"/>
      <c r="C56" s="3024">
        <v>101</v>
      </c>
      <c r="D56" s="3024">
        <v>134.27000000000001</v>
      </c>
      <c r="E56" s="3024">
        <v>84.36</v>
      </c>
      <c r="F56" s="3024"/>
      <c r="G56" s="3024">
        <f t="shared" si="2"/>
        <v>218.63</v>
      </c>
      <c r="H56" s="3024"/>
      <c r="I56" s="3024"/>
      <c r="J56" s="3024">
        <v>108.67</v>
      </c>
      <c r="K56" s="3024">
        <f t="shared" si="3"/>
        <v>109.96</v>
      </c>
      <c r="L56" s="3024">
        <f t="shared" si="1"/>
        <v>218.63</v>
      </c>
      <c r="M56" s="3024">
        <f>J56+J57+J58+J59+J60+J61</f>
        <v>652.01</v>
      </c>
    </row>
    <row r="57" spans="1:13">
      <c r="A57" s="3024"/>
      <c r="B57" s="3024"/>
      <c r="C57" s="3024">
        <v>102</v>
      </c>
      <c r="D57" s="3024">
        <v>134.27000000000001</v>
      </c>
      <c r="E57" s="3024">
        <v>84.5</v>
      </c>
      <c r="F57" s="3024"/>
      <c r="G57" s="3024">
        <f t="shared" si="2"/>
        <v>218.77</v>
      </c>
      <c r="H57" s="3024"/>
      <c r="I57" s="3024"/>
      <c r="J57" s="3024">
        <f>J56</f>
        <v>108.67</v>
      </c>
      <c r="K57" s="3024">
        <f t="shared" si="3"/>
        <v>110.10000000000001</v>
      </c>
      <c r="L57" s="3024">
        <f t="shared" si="1"/>
        <v>218.77</v>
      </c>
      <c r="M57" s="3024"/>
    </row>
    <row r="58" spans="1:13">
      <c r="A58" s="3024"/>
      <c r="B58" s="3024"/>
      <c r="C58" s="3024">
        <v>103</v>
      </c>
      <c r="D58" s="3024">
        <v>134.47</v>
      </c>
      <c r="E58" s="3024">
        <v>84.77</v>
      </c>
      <c r="F58" s="3024"/>
      <c r="G58" s="3024">
        <f t="shared" si="2"/>
        <v>219.24</v>
      </c>
      <c r="H58" s="3024"/>
      <c r="I58" s="3024"/>
      <c r="J58" s="3024">
        <f>J56</f>
        <v>108.67</v>
      </c>
      <c r="K58" s="3024">
        <f t="shared" si="3"/>
        <v>110.57000000000001</v>
      </c>
      <c r="L58" s="3024">
        <f t="shared" si="1"/>
        <v>219.24</v>
      </c>
      <c r="M58" s="3024"/>
    </row>
    <row r="59" spans="1:13">
      <c r="A59" s="3024"/>
      <c r="B59" s="3024"/>
      <c r="C59" s="3024">
        <v>104</v>
      </c>
      <c r="D59" s="3024">
        <v>134.27000000000001</v>
      </c>
      <c r="E59" s="3024">
        <v>84.36</v>
      </c>
      <c r="F59" s="3024"/>
      <c r="G59" s="3024">
        <f t="shared" si="2"/>
        <v>218.63</v>
      </c>
      <c r="H59" s="3024"/>
      <c r="I59" s="3024"/>
      <c r="J59" s="3024">
        <f>J56</f>
        <v>108.67</v>
      </c>
      <c r="K59" s="3024">
        <f t="shared" si="3"/>
        <v>109.96</v>
      </c>
      <c r="L59" s="3024">
        <f t="shared" si="1"/>
        <v>218.63</v>
      </c>
      <c r="M59" s="3024"/>
    </row>
    <row r="60" spans="1:13">
      <c r="A60" s="3024"/>
      <c r="B60" s="3024"/>
      <c r="C60" s="3024">
        <v>105</v>
      </c>
      <c r="D60" s="3024">
        <v>134.27000000000001</v>
      </c>
      <c r="E60" s="3024">
        <v>84.5</v>
      </c>
      <c r="F60" s="3024"/>
      <c r="G60" s="3024">
        <f t="shared" si="2"/>
        <v>218.77</v>
      </c>
      <c r="H60" s="3024"/>
      <c r="I60" s="3024"/>
      <c r="J60" s="3024">
        <f>J56</f>
        <v>108.67</v>
      </c>
      <c r="K60" s="3024">
        <f t="shared" si="3"/>
        <v>110.10000000000001</v>
      </c>
      <c r="L60" s="3024">
        <f t="shared" si="1"/>
        <v>218.77</v>
      </c>
      <c r="M60" s="3024"/>
    </row>
    <row r="61" spans="1:13">
      <c r="A61" s="3024"/>
      <c r="B61" s="3024"/>
      <c r="C61" s="3024">
        <v>106</v>
      </c>
      <c r="D61" s="3024">
        <v>134.47</v>
      </c>
      <c r="E61" s="3024">
        <v>84.77</v>
      </c>
      <c r="F61" s="3024"/>
      <c r="G61" s="3024">
        <f>SUM(D61:F61)</f>
        <v>219.24</v>
      </c>
      <c r="H61" s="3024"/>
      <c r="I61" s="3024"/>
      <c r="J61" s="3024">
        <v>108.66</v>
      </c>
      <c r="K61" s="3024">
        <f t="shared" si="3"/>
        <v>110.58000000000001</v>
      </c>
      <c r="L61" s="3024">
        <f t="shared" si="1"/>
        <v>219.24</v>
      </c>
      <c r="M61" s="3024"/>
    </row>
    <row r="62" spans="1:13">
      <c r="A62" s="3024" t="s">
        <v>3091</v>
      </c>
      <c r="B62" s="3024">
        <v>4</v>
      </c>
      <c r="C62" s="3024">
        <v>-201</v>
      </c>
      <c r="D62" s="3024"/>
      <c r="E62" s="3024">
        <v>83.6</v>
      </c>
      <c r="F62" s="3024"/>
      <c r="G62" s="3024">
        <f t="shared" si="2"/>
        <v>83.6</v>
      </c>
      <c r="H62" s="3024">
        <f>SUM(G62:G69)</f>
        <v>1213.9399999999998</v>
      </c>
      <c r="I62" s="3024"/>
      <c r="J62" s="3024"/>
      <c r="K62" s="3024">
        <f t="shared" si="3"/>
        <v>83.6</v>
      </c>
      <c r="L62" s="3024">
        <f t="shared" si="1"/>
        <v>83.6</v>
      </c>
      <c r="M62" s="3024"/>
    </row>
    <row r="63" spans="1:13">
      <c r="A63" s="3024"/>
      <c r="B63" s="3024"/>
      <c r="C63" s="3024">
        <v>-202</v>
      </c>
      <c r="D63" s="3024"/>
      <c r="E63" s="3024">
        <v>84.32</v>
      </c>
      <c r="F63" s="3024"/>
      <c r="G63" s="3024">
        <f t="shared" si="2"/>
        <v>84.32</v>
      </c>
      <c r="H63" s="3024"/>
      <c r="I63" s="3024"/>
      <c r="J63" s="3024"/>
      <c r="K63" s="3024">
        <f t="shared" si="3"/>
        <v>84.32</v>
      </c>
      <c r="L63" s="3024">
        <f t="shared" si="1"/>
        <v>84.32</v>
      </c>
      <c r="M63" s="3024"/>
    </row>
    <row r="64" spans="1:13">
      <c r="A64" s="3024"/>
      <c r="B64" s="3024"/>
      <c r="C64" s="3024">
        <v>-203</v>
      </c>
      <c r="D64" s="3024"/>
      <c r="E64" s="3024">
        <v>83.6</v>
      </c>
      <c r="F64" s="3024"/>
      <c r="G64" s="3024">
        <f t="shared" si="2"/>
        <v>83.6</v>
      </c>
      <c r="H64" s="3024"/>
      <c r="I64" s="3024"/>
      <c r="J64" s="3024"/>
      <c r="K64" s="3024">
        <f t="shared" si="3"/>
        <v>83.6</v>
      </c>
      <c r="L64" s="3024">
        <f t="shared" si="1"/>
        <v>83.6</v>
      </c>
      <c r="M64" s="3024"/>
    </row>
    <row r="65" spans="1:13">
      <c r="A65" s="3024"/>
      <c r="B65" s="3024"/>
      <c r="C65" s="3024">
        <v>-204</v>
      </c>
      <c r="D65" s="3024"/>
      <c r="E65" s="3024">
        <v>84.32</v>
      </c>
      <c r="F65" s="3024"/>
      <c r="G65" s="3024">
        <f t="shared" si="2"/>
        <v>84.32</v>
      </c>
      <c r="H65" s="3024"/>
      <c r="I65" s="3024"/>
      <c r="J65" s="3024"/>
      <c r="K65" s="3024">
        <f t="shared" si="3"/>
        <v>84.32</v>
      </c>
      <c r="L65" s="3024">
        <f t="shared" si="1"/>
        <v>84.32</v>
      </c>
      <c r="M65" s="3024"/>
    </row>
    <row r="66" spans="1:13">
      <c r="A66" s="3024"/>
      <c r="B66" s="3024"/>
      <c r="C66" s="3024">
        <v>101</v>
      </c>
      <c r="D66" s="3024">
        <v>134.63999999999999</v>
      </c>
      <c r="E66" s="3024">
        <v>84.58</v>
      </c>
      <c r="F66" s="3024"/>
      <c r="G66" s="3024">
        <f t="shared" si="2"/>
        <v>219.21999999999997</v>
      </c>
      <c r="H66" s="3024"/>
      <c r="I66" s="3024"/>
      <c r="J66" s="3024">
        <f>435.56/4</f>
        <v>108.89</v>
      </c>
      <c r="K66" s="3024">
        <f>G66-J66</f>
        <v>110.32999999999997</v>
      </c>
      <c r="L66" s="3024">
        <f>J66+K66</f>
        <v>219.21999999999997</v>
      </c>
      <c r="M66" s="3024">
        <f>J66+J67+J68+J69</f>
        <v>435.56</v>
      </c>
    </row>
    <row r="67" spans="1:13">
      <c r="A67" s="3024"/>
      <c r="B67" s="3024"/>
      <c r="C67" s="3024">
        <v>102</v>
      </c>
      <c r="D67" s="3024">
        <v>134.83000000000001</v>
      </c>
      <c r="E67" s="3024">
        <v>85</v>
      </c>
      <c r="F67" s="3024"/>
      <c r="G67" s="3024">
        <f t="shared" si="2"/>
        <v>219.83</v>
      </c>
      <c r="H67" s="3024"/>
      <c r="I67" s="3024"/>
      <c r="J67" s="3024">
        <f>J66</f>
        <v>108.89</v>
      </c>
      <c r="K67" s="3024">
        <f t="shared" si="3"/>
        <v>110.94000000000001</v>
      </c>
      <c r="L67" s="3024">
        <f t="shared" si="1"/>
        <v>219.83</v>
      </c>
      <c r="M67" s="3024"/>
    </row>
    <row r="68" spans="1:13">
      <c r="A68" s="3024"/>
      <c r="B68" s="3024"/>
      <c r="C68" s="3024">
        <v>103</v>
      </c>
      <c r="D68" s="3024">
        <v>134.63999999999999</v>
      </c>
      <c r="E68" s="3024">
        <v>84.58</v>
      </c>
      <c r="F68" s="3024"/>
      <c r="G68" s="3024">
        <f t="shared" si="2"/>
        <v>219.21999999999997</v>
      </c>
      <c r="H68" s="3024"/>
      <c r="I68" s="3024"/>
      <c r="J68" s="3024">
        <f>J66</f>
        <v>108.89</v>
      </c>
      <c r="K68" s="3024">
        <f t="shared" si="3"/>
        <v>110.32999999999997</v>
      </c>
      <c r="L68" s="3024">
        <f t="shared" si="1"/>
        <v>219.21999999999997</v>
      </c>
      <c r="M68" s="3024"/>
    </row>
    <row r="69" spans="1:13">
      <c r="A69" s="3024"/>
      <c r="B69" s="3024"/>
      <c r="C69" s="3024">
        <v>104</v>
      </c>
      <c r="D69" s="3024">
        <v>134.83000000000001</v>
      </c>
      <c r="E69" s="3024">
        <v>85</v>
      </c>
      <c r="F69" s="3024"/>
      <c r="G69" s="3024">
        <f t="shared" si="2"/>
        <v>219.83</v>
      </c>
      <c r="H69" s="3024"/>
      <c r="I69" s="3024"/>
      <c r="J69" s="3024">
        <f>J66</f>
        <v>108.89</v>
      </c>
      <c r="K69" s="3024">
        <f t="shared" si="3"/>
        <v>110.94000000000001</v>
      </c>
      <c r="L69" s="3024">
        <f t="shared" si="1"/>
        <v>219.83</v>
      </c>
      <c r="M69" s="3024"/>
    </row>
    <row r="70" spans="1:13">
      <c r="A70" s="3024" t="s">
        <v>3061</v>
      </c>
      <c r="B70" s="3024">
        <v>4</v>
      </c>
      <c r="C70" s="3024">
        <v>-201</v>
      </c>
      <c r="D70" s="3024"/>
      <c r="E70" s="3024">
        <v>83.6</v>
      </c>
      <c r="F70" s="3024"/>
      <c r="G70" s="3024">
        <f t="shared" si="2"/>
        <v>83.6</v>
      </c>
      <c r="H70" s="3024">
        <f>SUM(G70:G77)</f>
        <v>1213.9399999999998</v>
      </c>
      <c r="I70" s="3024"/>
      <c r="J70" s="3024"/>
      <c r="K70" s="3024">
        <f>G70-J70</f>
        <v>83.6</v>
      </c>
      <c r="L70" s="3024">
        <f t="shared" si="1"/>
        <v>83.6</v>
      </c>
      <c r="M70" s="3024"/>
    </row>
    <row r="71" spans="1:13">
      <c r="A71" s="3024"/>
      <c r="B71" s="3024"/>
      <c r="C71" s="3024">
        <v>-202</v>
      </c>
      <c r="D71" s="3024"/>
      <c r="E71" s="3024">
        <v>84.32</v>
      </c>
      <c r="F71" s="3024"/>
      <c r="G71" s="3024">
        <f t="shared" si="2"/>
        <v>84.32</v>
      </c>
      <c r="H71" s="3024"/>
      <c r="I71" s="3024"/>
      <c r="J71" s="3024"/>
      <c r="K71" s="3024">
        <f t="shared" si="3"/>
        <v>84.32</v>
      </c>
      <c r="L71" s="3024">
        <f t="shared" si="1"/>
        <v>84.32</v>
      </c>
      <c r="M71" s="3024"/>
    </row>
    <row r="72" spans="1:13">
      <c r="A72" s="3024"/>
      <c r="B72" s="3024"/>
      <c r="C72" s="3024">
        <v>-203</v>
      </c>
      <c r="D72" s="3024"/>
      <c r="E72" s="3024">
        <v>83.6</v>
      </c>
      <c r="F72" s="3024"/>
      <c r="G72" s="3024">
        <f t="shared" si="2"/>
        <v>83.6</v>
      </c>
      <c r="H72" s="3024"/>
      <c r="I72" s="3024"/>
      <c r="J72" s="3024"/>
      <c r="K72" s="3024">
        <f t="shared" si="3"/>
        <v>83.6</v>
      </c>
      <c r="L72" s="3024">
        <f t="shared" si="1"/>
        <v>83.6</v>
      </c>
      <c r="M72" s="3024"/>
    </row>
    <row r="73" spans="1:13">
      <c r="A73" s="3024"/>
      <c r="B73" s="3024"/>
      <c r="C73" s="3024">
        <v>-204</v>
      </c>
      <c r="D73" s="3024"/>
      <c r="E73" s="3024">
        <v>84.32</v>
      </c>
      <c r="F73" s="3024"/>
      <c r="G73" s="3024">
        <f t="shared" si="2"/>
        <v>84.32</v>
      </c>
      <c r="H73" s="3024"/>
      <c r="I73" s="3024"/>
      <c r="J73" s="3024"/>
      <c r="K73" s="3024">
        <f t="shared" si="3"/>
        <v>84.32</v>
      </c>
      <c r="L73" s="3024">
        <f t="shared" si="1"/>
        <v>84.32</v>
      </c>
      <c r="M73" s="3024"/>
    </row>
    <row r="74" spans="1:13">
      <c r="A74" s="3024"/>
      <c r="B74" s="3024"/>
      <c r="C74" s="3024">
        <v>101</v>
      </c>
      <c r="D74" s="3024">
        <v>134.63999999999999</v>
      </c>
      <c r="E74" s="3024">
        <v>84.58</v>
      </c>
      <c r="F74" s="3024"/>
      <c r="G74" s="3024">
        <f t="shared" si="2"/>
        <v>219.21999999999997</v>
      </c>
      <c r="H74" s="3024"/>
      <c r="I74" s="3024"/>
      <c r="J74" s="3024">
        <v>108.89</v>
      </c>
      <c r="K74" s="3024">
        <f t="shared" si="3"/>
        <v>110.32999999999997</v>
      </c>
      <c r="L74" s="3024">
        <f t="shared" si="1"/>
        <v>219.21999999999997</v>
      </c>
      <c r="M74" s="3024">
        <f>J74+J75+J76+J77</f>
        <v>435.56</v>
      </c>
    </row>
    <row r="75" spans="1:13">
      <c r="A75" s="3024"/>
      <c r="B75" s="3024"/>
      <c r="C75" s="3024">
        <v>102</v>
      </c>
      <c r="D75" s="3024">
        <v>134.83000000000001</v>
      </c>
      <c r="E75" s="3024">
        <v>85</v>
      </c>
      <c r="F75" s="3024"/>
      <c r="G75" s="3024">
        <f t="shared" si="2"/>
        <v>219.83</v>
      </c>
      <c r="H75" s="3024"/>
      <c r="I75" s="3024"/>
      <c r="J75" s="3024">
        <f>J74</f>
        <v>108.89</v>
      </c>
      <c r="K75" s="3024">
        <f t="shared" si="3"/>
        <v>110.94000000000001</v>
      </c>
      <c r="L75" s="3024">
        <f t="shared" si="1"/>
        <v>219.83</v>
      </c>
      <c r="M75" s="3024"/>
    </row>
    <row r="76" spans="1:13">
      <c r="A76" s="3024"/>
      <c r="B76" s="3024"/>
      <c r="C76" s="3024">
        <v>103</v>
      </c>
      <c r="D76" s="3024">
        <v>134.63999999999999</v>
      </c>
      <c r="E76" s="3024">
        <v>84.58</v>
      </c>
      <c r="F76" s="3024"/>
      <c r="G76" s="3024">
        <f t="shared" si="2"/>
        <v>219.21999999999997</v>
      </c>
      <c r="H76" s="3024"/>
      <c r="I76" s="3024"/>
      <c r="J76" s="3024">
        <f>J74</f>
        <v>108.89</v>
      </c>
      <c r="K76" s="3024">
        <f t="shared" si="3"/>
        <v>110.32999999999997</v>
      </c>
      <c r="L76" s="3024">
        <f t="shared" si="1"/>
        <v>219.21999999999997</v>
      </c>
      <c r="M76" s="3024"/>
    </row>
    <row r="77" spans="1:13">
      <c r="A77" s="3024"/>
      <c r="B77" s="3024"/>
      <c r="C77" s="3024">
        <v>104</v>
      </c>
      <c r="D77" s="3024">
        <v>134.83000000000001</v>
      </c>
      <c r="E77" s="3024">
        <v>85</v>
      </c>
      <c r="F77" s="3024"/>
      <c r="G77" s="3024">
        <f t="shared" si="2"/>
        <v>219.83</v>
      </c>
      <c r="H77" s="3024"/>
      <c r="I77" s="3024"/>
      <c r="J77" s="3024">
        <f>J74</f>
        <v>108.89</v>
      </c>
      <c r="K77" s="3024">
        <f t="shared" si="3"/>
        <v>110.94000000000001</v>
      </c>
      <c r="L77" s="3024">
        <f t="shared" si="1"/>
        <v>219.83</v>
      </c>
      <c r="M77" s="3024"/>
    </row>
    <row r="78" spans="1:13">
      <c r="A78" s="3024" t="s">
        <v>3092</v>
      </c>
      <c r="B78" s="3024">
        <v>6</v>
      </c>
      <c r="C78" s="3024">
        <v>-201</v>
      </c>
      <c r="D78" s="3024"/>
      <c r="E78" s="3024">
        <v>83.62</v>
      </c>
      <c r="F78" s="3024"/>
      <c r="G78" s="3024">
        <f>SUM(D78:F78)</f>
        <v>83.62</v>
      </c>
      <c r="H78" s="3024">
        <f>SUM(G78:G89)</f>
        <v>1817.92</v>
      </c>
      <c r="I78" s="3024"/>
      <c r="J78" s="3024"/>
      <c r="K78" s="3024">
        <f>G78-J78</f>
        <v>83.62</v>
      </c>
      <c r="L78" s="3024">
        <f t="shared" si="1"/>
        <v>83.62</v>
      </c>
      <c r="M78" s="3024"/>
    </row>
    <row r="79" spans="1:13">
      <c r="A79" s="3024"/>
      <c r="B79" s="3024"/>
      <c r="C79" s="3024">
        <v>-202</v>
      </c>
      <c r="D79" s="3024"/>
      <c r="E79" s="3024">
        <v>84.34</v>
      </c>
      <c r="F79" s="3024"/>
      <c r="G79" s="3024">
        <f t="shared" si="2"/>
        <v>84.34</v>
      </c>
      <c r="H79" s="3024"/>
      <c r="I79" s="3024"/>
      <c r="J79" s="3024"/>
      <c r="K79" s="3024">
        <f t="shared" ref="K79:K86" si="4">G79-J79</f>
        <v>84.34</v>
      </c>
      <c r="L79" s="3024">
        <f t="shared" si="1"/>
        <v>84.34</v>
      </c>
      <c r="M79" s="3024"/>
    </row>
    <row r="80" spans="1:13">
      <c r="A80" s="3024"/>
      <c r="B80" s="3024"/>
      <c r="C80" s="3024">
        <v>-203</v>
      </c>
      <c r="D80" s="3024"/>
      <c r="E80" s="3024">
        <v>84.34</v>
      </c>
      <c r="F80" s="3024"/>
      <c r="G80" s="3024">
        <f t="shared" si="2"/>
        <v>84.34</v>
      </c>
      <c r="H80" s="3024"/>
      <c r="I80" s="3024"/>
      <c r="J80" s="3024"/>
      <c r="K80" s="3024">
        <f t="shared" si="4"/>
        <v>84.34</v>
      </c>
      <c r="L80" s="3024">
        <f t="shared" si="1"/>
        <v>84.34</v>
      </c>
      <c r="M80" s="3024"/>
    </row>
    <row r="81" spans="1:13">
      <c r="A81" s="3024"/>
      <c r="B81" s="3024"/>
      <c r="C81" s="3024">
        <v>-204</v>
      </c>
      <c r="D81" s="3024"/>
      <c r="E81" s="3024">
        <v>83.62</v>
      </c>
      <c r="F81" s="3024"/>
      <c r="G81" s="3024">
        <f t="shared" si="2"/>
        <v>83.62</v>
      </c>
      <c r="H81" s="3024"/>
      <c r="I81" s="3024"/>
      <c r="J81" s="3024"/>
      <c r="K81" s="3024">
        <f t="shared" si="4"/>
        <v>83.62</v>
      </c>
      <c r="L81" s="3024">
        <f t="shared" si="1"/>
        <v>83.62</v>
      </c>
      <c r="M81" s="3024"/>
    </row>
    <row r="82" spans="1:13">
      <c r="A82" s="3024"/>
      <c r="B82" s="3024"/>
      <c r="C82" s="3024">
        <v>-205</v>
      </c>
      <c r="D82" s="3024"/>
      <c r="E82" s="3024">
        <v>84.34</v>
      </c>
      <c r="F82" s="3024"/>
      <c r="G82" s="3024">
        <f t="shared" si="2"/>
        <v>84.34</v>
      </c>
      <c r="H82" s="3024"/>
      <c r="I82" s="3024"/>
      <c r="J82" s="3024"/>
      <c r="K82" s="3024">
        <f t="shared" si="4"/>
        <v>84.34</v>
      </c>
      <c r="L82" s="3024">
        <f t="shared" si="1"/>
        <v>84.34</v>
      </c>
      <c r="M82" s="3024"/>
    </row>
    <row r="83" spans="1:13">
      <c r="A83" s="3024"/>
      <c r="B83" s="3024"/>
      <c r="C83" s="3024">
        <v>-206</v>
      </c>
      <c r="D83" s="3024"/>
      <c r="E83" s="3024">
        <v>84.34</v>
      </c>
      <c r="F83" s="3024"/>
      <c r="G83" s="3024">
        <f t="shared" si="2"/>
        <v>84.34</v>
      </c>
      <c r="H83" s="3024"/>
      <c r="I83" s="3024"/>
      <c r="J83" s="3024"/>
      <c r="K83" s="3024">
        <f t="shared" si="4"/>
        <v>84.34</v>
      </c>
      <c r="L83" s="3024">
        <f t="shared" si="1"/>
        <v>84.34</v>
      </c>
      <c r="M83" s="3024"/>
    </row>
    <row r="84" spans="1:13">
      <c r="A84" s="3024"/>
      <c r="B84" s="3024"/>
      <c r="C84" s="3024">
        <v>101</v>
      </c>
      <c r="D84" s="3024">
        <v>134.29</v>
      </c>
      <c r="E84" s="3024">
        <v>84.35</v>
      </c>
      <c r="F84" s="3024"/>
      <c r="G84" s="3024">
        <f t="shared" si="2"/>
        <v>218.64</v>
      </c>
      <c r="H84" s="3024"/>
      <c r="I84" s="3024"/>
      <c r="J84" s="3024">
        <v>108.67</v>
      </c>
      <c r="K84" s="3024">
        <f t="shared" si="4"/>
        <v>109.96999999999998</v>
      </c>
      <c r="L84" s="3024">
        <f t="shared" si="1"/>
        <v>218.64</v>
      </c>
      <c r="M84" s="3024">
        <f>J84+J85+J86+J87+J88+J89</f>
        <v>652.01</v>
      </c>
    </row>
    <row r="85" spans="1:13">
      <c r="A85" s="3024"/>
      <c r="B85" s="3024"/>
      <c r="C85" s="3024">
        <v>102</v>
      </c>
      <c r="D85" s="3024">
        <v>134.29</v>
      </c>
      <c r="E85" s="3024">
        <v>84.49</v>
      </c>
      <c r="F85" s="3024"/>
      <c r="G85" s="3024">
        <f t="shared" si="2"/>
        <v>218.77999999999997</v>
      </c>
      <c r="H85" s="3024"/>
      <c r="I85" s="3024"/>
      <c r="J85" s="3024">
        <f>J84</f>
        <v>108.67</v>
      </c>
      <c r="K85" s="3024">
        <f t="shared" si="4"/>
        <v>110.10999999999997</v>
      </c>
      <c r="L85" s="3024">
        <f t="shared" si="1"/>
        <v>218.77999999999997</v>
      </c>
      <c r="M85" s="3024"/>
    </row>
    <row r="86" spans="1:13">
      <c r="A86" s="3024"/>
      <c r="B86" s="3024"/>
      <c r="C86" s="3024">
        <v>103</v>
      </c>
      <c r="D86" s="3024">
        <v>134.47</v>
      </c>
      <c r="E86" s="3024">
        <v>84.77</v>
      </c>
      <c r="F86" s="3024"/>
      <c r="G86" s="3024">
        <f t="shared" si="2"/>
        <v>219.24</v>
      </c>
      <c r="H86" s="3024"/>
      <c r="I86" s="3024"/>
      <c r="J86" s="3024">
        <f>J84</f>
        <v>108.67</v>
      </c>
      <c r="K86" s="3024">
        <f t="shared" si="4"/>
        <v>110.57000000000001</v>
      </c>
      <c r="L86" s="3024">
        <f t="shared" si="1"/>
        <v>219.24</v>
      </c>
      <c r="M86" s="3024"/>
    </row>
    <row r="87" spans="1:13">
      <c r="A87" s="3024"/>
      <c r="B87" s="3024"/>
      <c r="C87" s="3024">
        <v>104</v>
      </c>
      <c r="D87" s="3024">
        <v>134.29</v>
      </c>
      <c r="E87" s="3024">
        <v>84.35</v>
      </c>
      <c r="F87" s="3024"/>
      <c r="G87" s="3024">
        <f t="shared" si="2"/>
        <v>218.64</v>
      </c>
      <c r="H87" s="3024"/>
      <c r="I87" s="3024"/>
      <c r="J87" s="3024">
        <f>J84</f>
        <v>108.67</v>
      </c>
      <c r="K87" s="3024">
        <f>G87-J87</f>
        <v>109.96999999999998</v>
      </c>
      <c r="L87" s="3024">
        <f t="shared" si="1"/>
        <v>218.64</v>
      </c>
      <c r="M87" s="3024"/>
    </row>
    <row r="88" spans="1:13">
      <c r="A88" s="3024"/>
      <c r="B88" s="3024"/>
      <c r="C88" s="3024">
        <v>105</v>
      </c>
      <c r="D88" s="3024">
        <v>134.29</v>
      </c>
      <c r="E88" s="3024">
        <v>84.49</v>
      </c>
      <c r="F88" s="3024"/>
      <c r="G88" s="3024">
        <f t="shared" si="2"/>
        <v>218.77999999999997</v>
      </c>
      <c r="H88" s="3024"/>
      <c r="I88" s="3024"/>
      <c r="J88" s="3024">
        <f>J84</f>
        <v>108.67</v>
      </c>
      <c r="K88" s="3024">
        <f>G88-J88</f>
        <v>110.10999999999997</v>
      </c>
      <c r="L88" s="3024">
        <f t="shared" si="1"/>
        <v>218.77999999999997</v>
      </c>
      <c r="M88" s="3024"/>
    </row>
    <row r="89" spans="1:13">
      <c r="A89" s="3024"/>
      <c r="B89" s="3024"/>
      <c r="C89" s="3024">
        <v>106</v>
      </c>
      <c r="D89" s="3024">
        <v>134.47</v>
      </c>
      <c r="E89" s="3024">
        <v>84.77</v>
      </c>
      <c r="F89" s="3024"/>
      <c r="G89" s="3024">
        <f t="shared" si="2"/>
        <v>219.24</v>
      </c>
      <c r="H89" s="3024"/>
      <c r="I89" s="3024"/>
      <c r="J89" s="3024">
        <v>108.66</v>
      </c>
      <c r="K89" s="3024">
        <f>G89-J89</f>
        <v>110.58000000000001</v>
      </c>
      <c r="L89" s="3024">
        <f t="shared" si="1"/>
        <v>219.24</v>
      </c>
      <c r="M89" s="3024"/>
    </row>
    <row r="90" spans="1:13">
      <c r="A90" s="3024" t="s">
        <v>3093</v>
      </c>
      <c r="B90" s="3024">
        <v>6</v>
      </c>
      <c r="C90" s="3024">
        <v>-201</v>
      </c>
      <c r="D90" s="3024"/>
      <c r="E90" s="3024">
        <v>123.72</v>
      </c>
      <c r="F90" s="3024"/>
      <c r="G90" s="3024">
        <f>SUM(D90:F90)</f>
        <v>123.72</v>
      </c>
      <c r="H90" s="3024">
        <f>SUM(G90:G101)</f>
        <v>1817.96</v>
      </c>
      <c r="I90" s="3024"/>
      <c r="J90" s="3024"/>
      <c r="K90" s="3024">
        <f>G90-J90</f>
        <v>123.72</v>
      </c>
      <c r="L90" s="3024">
        <f t="shared" si="1"/>
        <v>123.72</v>
      </c>
      <c r="M90" s="3024"/>
    </row>
    <row r="91" spans="1:13">
      <c r="A91" s="3024"/>
      <c r="B91" s="3024"/>
      <c r="C91" s="3024">
        <v>-202</v>
      </c>
      <c r="D91" s="3024"/>
      <c r="E91" s="3024">
        <v>124.79</v>
      </c>
      <c r="F91" s="3024"/>
      <c r="G91" s="3024">
        <f t="shared" ref="G91:G101" si="5">SUM(D91:F91)</f>
        <v>124.79</v>
      </c>
      <c r="H91" s="3024"/>
      <c r="I91" s="3024"/>
      <c r="J91" s="3024"/>
      <c r="K91" s="3024">
        <f t="shared" ref="K91:K101" si="6">G91-J91</f>
        <v>124.79</v>
      </c>
      <c r="L91" s="3024">
        <f t="shared" si="1"/>
        <v>124.79</v>
      </c>
      <c r="M91" s="3024"/>
    </row>
    <row r="92" spans="1:13">
      <c r="A92" s="3024"/>
      <c r="B92" s="3024"/>
      <c r="C92" s="3024">
        <v>-203</v>
      </c>
      <c r="D92" s="3024"/>
      <c r="E92" s="3024">
        <v>124.79</v>
      </c>
      <c r="F92" s="3024"/>
      <c r="G92" s="3024">
        <f t="shared" si="5"/>
        <v>124.79</v>
      </c>
      <c r="H92" s="3024"/>
      <c r="I92" s="3024"/>
      <c r="J92" s="3024"/>
      <c r="K92" s="3024">
        <f t="shared" si="6"/>
        <v>124.79</v>
      </c>
      <c r="L92" s="3024">
        <f t="shared" si="1"/>
        <v>124.79</v>
      </c>
      <c r="M92" s="3024"/>
    </row>
    <row r="93" spans="1:13">
      <c r="A93" s="3024"/>
      <c r="B93" s="3024"/>
      <c r="C93" s="3024">
        <v>-204</v>
      </c>
      <c r="D93" s="3024"/>
      <c r="E93" s="3024">
        <v>123.72</v>
      </c>
      <c r="F93" s="3024"/>
      <c r="G93" s="3024">
        <f t="shared" si="5"/>
        <v>123.72</v>
      </c>
      <c r="H93" s="3024"/>
      <c r="I93" s="3024"/>
      <c r="J93" s="3024"/>
      <c r="K93" s="3024">
        <f t="shared" si="6"/>
        <v>123.72</v>
      </c>
      <c r="L93" s="3024">
        <f t="shared" si="1"/>
        <v>123.72</v>
      </c>
      <c r="M93" s="3024"/>
    </row>
    <row r="94" spans="1:13">
      <c r="A94" s="3024"/>
      <c r="B94" s="3024"/>
      <c r="C94" s="3024">
        <v>-205</v>
      </c>
      <c r="D94" s="3024"/>
      <c r="E94" s="3024">
        <v>124.79</v>
      </c>
      <c r="F94" s="3024"/>
      <c r="G94" s="3024">
        <f t="shared" si="5"/>
        <v>124.79</v>
      </c>
      <c r="H94" s="3024"/>
      <c r="I94" s="3024"/>
      <c r="J94" s="3024"/>
      <c r="K94" s="3024">
        <f t="shared" si="6"/>
        <v>124.79</v>
      </c>
      <c r="L94" s="3024">
        <f t="shared" si="1"/>
        <v>124.79</v>
      </c>
      <c r="M94" s="3024"/>
    </row>
    <row r="95" spans="1:13">
      <c r="A95" s="3024"/>
      <c r="B95" s="3024"/>
      <c r="C95" s="3024">
        <v>-206</v>
      </c>
      <c r="D95" s="3024"/>
      <c r="E95" s="3024">
        <v>124.79</v>
      </c>
      <c r="F95" s="3024"/>
      <c r="G95" s="3024">
        <f t="shared" si="5"/>
        <v>124.79</v>
      </c>
      <c r="H95" s="3024"/>
      <c r="I95" s="3024"/>
      <c r="J95" s="3024"/>
      <c r="K95" s="3024">
        <f t="shared" si="6"/>
        <v>124.79</v>
      </c>
      <c r="L95" s="3024">
        <f t="shared" si="1"/>
        <v>124.79</v>
      </c>
      <c r="M95" s="3024"/>
    </row>
    <row r="96" spans="1:13">
      <c r="A96" s="3024"/>
      <c r="B96" s="3024"/>
      <c r="C96" s="3024">
        <v>101</v>
      </c>
      <c r="D96" s="3024">
        <v>109.54</v>
      </c>
      <c r="E96" s="3024">
        <v>68.819999999999993</v>
      </c>
      <c r="F96" s="3024"/>
      <c r="G96" s="3024">
        <f t="shared" si="5"/>
        <v>178.36</v>
      </c>
      <c r="H96" s="3024"/>
      <c r="I96" s="3024"/>
      <c r="J96" s="3024">
        <f>J84</f>
        <v>108.67</v>
      </c>
      <c r="K96" s="3024">
        <f t="shared" si="6"/>
        <v>69.690000000000012</v>
      </c>
      <c r="L96" s="3024">
        <f t="shared" si="1"/>
        <v>178.36</v>
      </c>
      <c r="M96" s="3024">
        <f>J96+J97+J98+J99+J100+J101</f>
        <v>652.01</v>
      </c>
    </row>
    <row r="97" spans="1:13">
      <c r="A97" s="3024"/>
      <c r="B97" s="3024"/>
      <c r="C97" s="3024">
        <v>102</v>
      </c>
      <c r="D97" s="3024">
        <v>109.54</v>
      </c>
      <c r="E97" s="3024">
        <v>68.930000000000007</v>
      </c>
      <c r="F97" s="3024"/>
      <c r="G97" s="3024">
        <f t="shared" si="5"/>
        <v>178.47000000000003</v>
      </c>
      <c r="H97" s="3024"/>
      <c r="I97" s="3024"/>
      <c r="J97" s="3024">
        <f>J96</f>
        <v>108.67</v>
      </c>
      <c r="K97" s="3024">
        <f t="shared" si="6"/>
        <v>69.800000000000026</v>
      </c>
      <c r="L97" s="3024">
        <f t="shared" si="1"/>
        <v>178.47000000000003</v>
      </c>
      <c r="M97" s="3024"/>
    </row>
    <row r="98" spans="1:13">
      <c r="A98" s="3024"/>
      <c r="B98" s="3024"/>
      <c r="C98" s="3024">
        <v>103</v>
      </c>
      <c r="D98" s="3024">
        <v>109.7</v>
      </c>
      <c r="E98" s="3024">
        <v>69.150000000000006</v>
      </c>
      <c r="F98" s="3024"/>
      <c r="G98" s="3024">
        <f t="shared" si="5"/>
        <v>178.85000000000002</v>
      </c>
      <c r="H98" s="3024"/>
      <c r="I98" s="3024"/>
      <c r="J98" s="3024">
        <f>J96</f>
        <v>108.67</v>
      </c>
      <c r="K98" s="3024">
        <f t="shared" si="6"/>
        <v>70.180000000000021</v>
      </c>
      <c r="L98" s="3024">
        <f t="shared" si="1"/>
        <v>178.85000000000002</v>
      </c>
      <c r="M98" s="3024"/>
    </row>
    <row r="99" spans="1:13">
      <c r="A99" s="3024"/>
      <c r="B99" s="3024"/>
      <c r="C99" s="3024">
        <v>104</v>
      </c>
      <c r="D99" s="3024">
        <v>109.54</v>
      </c>
      <c r="E99" s="3024">
        <v>68.819999999999993</v>
      </c>
      <c r="F99" s="3024"/>
      <c r="G99" s="3024">
        <f t="shared" si="5"/>
        <v>178.36</v>
      </c>
      <c r="H99" s="3024"/>
      <c r="I99" s="3024"/>
      <c r="J99" s="3024">
        <f>J96</f>
        <v>108.67</v>
      </c>
      <c r="K99" s="3024">
        <f t="shared" si="6"/>
        <v>69.690000000000012</v>
      </c>
      <c r="L99" s="3024">
        <f t="shared" si="1"/>
        <v>178.36</v>
      </c>
      <c r="M99" s="3024"/>
    </row>
    <row r="100" spans="1:13">
      <c r="A100" s="3024"/>
      <c r="B100" s="3024"/>
      <c r="C100" s="3024">
        <v>105</v>
      </c>
      <c r="D100" s="3024">
        <v>109.54</v>
      </c>
      <c r="E100" s="3024">
        <v>68.930000000000007</v>
      </c>
      <c r="F100" s="3024"/>
      <c r="G100" s="3024">
        <f t="shared" si="5"/>
        <v>178.47000000000003</v>
      </c>
      <c r="H100" s="3024"/>
      <c r="I100" s="3024"/>
      <c r="J100" s="3024">
        <f>J96</f>
        <v>108.67</v>
      </c>
      <c r="K100" s="3024">
        <f t="shared" si="6"/>
        <v>69.800000000000026</v>
      </c>
      <c r="L100" s="3024">
        <f t="shared" si="1"/>
        <v>178.47000000000003</v>
      </c>
      <c r="M100" s="3024"/>
    </row>
    <row r="101" spans="1:13">
      <c r="A101" s="3024"/>
      <c r="B101" s="3024"/>
      <c r="C101" s="3024">
        <v>106</v>
      </c>
      <c r="D101" s="3024">
        <v>109.7</v>
      </c>
      <c r="E101" s="3024">
        <v>69.150000000000006</v>
      </c>
      <c r="F101" s="3024"/>
      <c r="G101" s="3024">
        <f t="shared" si="5"/>
        <v>178.85000000000002</v>
      </c>
      <c r="H101" s="3024"/>
      <c r="I101" s="3024"/>
      <c r="J101" s="3024">
        <f>J89</f>
        <v>108.66</v>
      </c>
      <c r="K101" s="3024">
        <f t="shared" si="6"/>
        <v>70.190000000000026</v>
      </c>
      <c r="L101" s="3024">
        <f t="shared" si="1"/>
        <v>178.85000000000002</v>
      </c>
      <c r="M101" s="3024"/>
    </row>
    <row r="102" spans="1:13">
      <c r="A102" s="3024" t="s">
        <v>3062</v>
      </c>
      <c r="B102" s="3024">
        <v>4</v>
      </c>
      <c r="C102" s="3024">
        <v>-201</v>
      </c>
      <c r="D102" s="3024"/>
      <c r="E102" s="3024">
        <v>83.6</v>
      </c>
      <c r="F102" s="3024"/>
      <c r="G102" s="3024">
        <f t="shared" si="2"/>
        <v>83.6</v>
      </c>
      <c r="H102" s="3024">
        <f>SUM(G102:G109)</f>
        <v>1213.9399999999998</v>
      </c>
      <c r="I102" s="3024"/>
      <c r="J102" s="3024"/>
      <c r="K102" s="3024">
        <f t="shared" si="3"/>
        <v>83.6</v>
      </c>
      <c r="L102" s="3024">
        <f t="shared" si="1"/>
        <v>83.6</v>
      </c>
      <c r="M102" s="3024"/>
    </row>
    <row r="103" spans="1:13">
      <c r="A103" s="3024"/>
      <c r="B103" s="3024"/>
      <c r="C103" s="3024">
        <v>-202</v>
      </c>
      <c r="D103" s="3024"/>
      <c r="E103" s="3024">
        <v>84.32</v>
      </c>
      <c r="F103" s="3024"/>
      <c r="G103" s="3024">
        <f t="shared" si="2"/>
        <v>84.32</v>
      </c>
      <c r="H103" s="3024"/>
      <c r="I103" s="3024"/>
      <c r="J103" s="3024"/>
      <c r="K103" s="3024">
        <f t="shared" si="3"/>
        <v>84.32</v>
      </c>
      <c r="L103" s="3024">
        <f t="shared" si="1"/>
        <v>84.32</v>
      </c>
      <c r="M103" s="3024"/>
    </row>
    <row r="104" spans="1:13">
      <c r="A104" s="3024"/>
      <c r="B104" s="3024"/>
      <c r="C104" s="3024">
        <v>-203</v>
      </c>
      <c r="D104" s="3024"/>
      <c r="E104" s="3024">
        <v>83.6</v>
      </c>
      <c r="F104" s="3024"/>
      <c r="G104" s="3024">
        <f t="shared" si="2"/>
        <v>83.6</v>
      </c>
      <c r="H104" s="3024"/>
      <c r="I104" s="3024"/>
      <c r="J104" s="3024"/>
      <c r="K104" s="3024">
        <f t="shared" si="3"/>
        <v>83.6</v>
      </c>
      <c r="L104" s="3024">
        <f t="shared" si="1"/>
        <v>83.6</v>
      </c>
      <c r="M104" s="3024"/>
    </row>
    <row r="105" spans="1:13">
      <c r="A105" s="3024"/>
      <c r="B105" s="3024"/>
      <c r="C105" s="3024">
        <v>-204</v>
      </c>
      <c r="D105" s="3024"/>
      <c r="E105" s="3024">
        <v>84.32</v>
      </c>
      <c r="F105" s="3024"/>
      <c r="G105" s="3024">
        <f t="shared" si="2"/>
        <v>84.32</v>
      </c>
      <c r="H105" s="3024"/>
      <c r="I105" s="3024"/>
      <c r="J105" s="3024"/>
      <c r="K105" s="3024">
        <f t="shared" si="3"/>
        <v>84.32</v>
      </c>
      <c r="L105" s="3024">
        <f t="shared" si="1"/>
        <v>84.32</v>
      </c>
      <c r="M105" s="3024"/>
    </row>
    <row r="106" spans="1:13">
      <c r="A106" s="3024"/>
      <c r="B106" s="3024"/>
      <c r="C106" s="3024">
        <v>101</v>
      </c>
      <c r="D106" s="3024">
        <v>134.63999999999999</v>
      </c>
      <c r="E106" s="3024">
        <v>84.58</v>
      </c>
      <c r="F106" s="3024"/>
      <c r="G106" s="3024">
        <f t="shared" si="2"/>
        <v>219.21999999999997</v>
      </c>
      <c r="H106" s="3024"/>
      <c r="I106" s="3024"/>
      <c r="J106" s="3024">
        <v>108.89</v>
      </c>
      <c r="K106" s="3024">
        <f t="shared" si="3"/>
        <v>110.32999999999997</v>
      </c>
      <c r="L106" s="3024">
        <f t="shared" si="1"/>
        <v>219.21999999999997</v>
      </c>
      <c r="M106" s="3024">
        <f>J106+J107+J108+J109</f>
        <v>435.56</v>
      </c>
    </row>
    <row r="107" spans="1:13">
      <c r="A107" s="3024"/>
      <c r="B107" s="3024"/>
      <c r="C107" s="3024">
        <v>102</v>
      </c>
      <c r="D107" s="3024">
        <v>134.83000000000001</v>
      </c>
      <c r="E107" s="3024">
        <v>85</v>
      </c>
      <c r="F107" s="3024"/>
      <c r="G107" s="3024">
        <f t="shared" si="2"/>
        <v>219.83</v>
      </c>
      <c r="H107" s="3024"/>
      <c r="I107" s="3024"/>
      <c r="J107" s="3024">
        <f>J106</f>
        <v>108.89</v>
      </c>
      <c r="K107" s="3024">
        <f t="shared" si="3"/>
        <v>110.94000000000001</v>
      </c>
      <c r="L107" s="3024">
        <f t="shared" si="1"/>
        <v>219.83</v>
      </c>
      <c r="M107" s="3024"/>
    </row>
    <row r="108" spans="1:13">
      <c r="A108" s="3024"/>
      <c r="B108" s="3024"/>
      <c r="C108" s="3024">
        <v>103</v>
      </c>
      <c r="D108" s="3024">
        <v>134.63999999999999</v>
      </c>
      <c r="E108" s="3024">
        <v>84.58</v>
      </c>
      <c r="F108" s="3024"/>
      <c r="G108" s="3024">
        <f t="shared" si="2"/>
        <v>219.21999999999997</v>
      </c>
      <c r="H108" s="3024"/>
      <c r="I108" s="3024"/>
      <c r="J108" s="3024">
        <f>J106</f>
        <v>108.89</v>
      </c>
      <c r="K108" s="3024">
        <f t="shared" si="3"/>
        <v>110.32999999999997</v>
      </c>
      <c r="L108" s="3024">
        <f t="shared" si="1"/>
        <v>219.21999999999997</v>
      </c>
      <c r="M108" s="3024"/>
    </row>
    <row r="109" spans="1:13">
      <c r="A109" s="3024"/>
      <c r="B109" s="3024"/>
      <c r="C109" s="3024">
        <v>104</v>
      </c>
      <c r="D109" s="3024">
        <v>134.83000000000001</v>
      </c>
      <c r="E109" s="3024">
        <v>85</v>
      </c>
      <c r="F109" s="3024"/>
      <c r="G109" s="3024">
        <f t="shared" si="2"/>
        <v>219.83</v>
      </c>
      <c r="H109" s="3024"/>
      <c r="I109" s="3024"/>
      <c r="J109" s="3024">
        <f>J106</f>
        <v>108.89</v>
      </c>
      <c r="K109" s="3024">
        <f t="shared" si="3"/>
        <v>110.94000000000001</v>
      </c>
      <c r="L109" s="3024">
        <f t="shared" si="1"/>
        <v>219.83</v>
      </c>
      <c r="M109" s="3024"/>
    </row>
    <row r="110" spans="1:13">
      <c r="A110" s="3024" t="s">
        <v>3094</v>
      </c>
      <c r="B110" s="3024">
        <v>6</v>
      </c>
      <c r="C110" s="3024">
        <v>-201</v>
      </c>
      <c r="D110" s="3024"/>
      <c r="E110" s="3024">
        <v>83.45</v>
      </c>
      <c r="F110" s="3024"/>
      <c r="G110" s="3024">
        <f t="shared" si="2"/>
        <v>83.45</v>
      </c>
      <c r="H110" s="3024">
        <f>SUM(G110:G121)</f>
        <v>1816.8799999999999</v>
      </c>
      <c r="I110" s="3024"/>
      <c r="J110" s="3024"/>
      <c r="K110" s="3024">
        <f t="shared" si="3"/>
        <v>83.45</v>
      </c>
      <c r="L110" s="3024">
        <f t="shared" si="1"/>
        <v>83.45</v>
      </c>
      <c r="M110" s="3024"/>
    </row>
    <row r="111" spans="1:13">
      <c r="A111" s="3024"/>
      <c r="B111" s="3024"/>
      <c r="C111" s="3024">
        <v>-202</v>
      </c>
      <c r="D111" s="3024"/>
      <c r="E111" s="3024">
        <v>84.17</v>
      </c>
      <c r="F111" s="3024"/>
      <c r="G111" s="3024">
        <f t="shared" si="2"/>
        <v>84.17</v>
      </c>
      <c r="H111" s="3024"/>
      <c r="I111" s="3024"/>
      <c r="J111" s="3024"/>
      <c r="K111" s="3024">
        <f t="shared" si="3"/>
        <v>84.17</v>
      </c>
      <c r="L111" s="3024">
        <f t="shared" si="1"/>
        <v>84.17</v>
      </c>
      <c r="M111" s="3024"/>
    </row>
    <row r="112" spans="1:13">
      <c r="A112" s="3024"/>
      <c r="B112" s="3024"/>
      <c r="C112" s="3024">
        <v>-203</v>
      </c>
      <c r="D112" s="3024"/>
      <c r="E112" s="3024">
        <v>84.17</v>
      </c>
      <c r="F112" s="3024"/>
      <c r="G112" s="3024">
        <f t="shared" si="2"/>
        <v>84.17</v>
      </c>
      <c r="H112" s="3024"/>
      <c r="I112" s="3024"/>
      <c r="J112" s="3024"/>
      <c r="K112" s="3024">
        <f t="shared" si="3"/>
        <v>84.17</v>
      </c>
      <c r="L112" s="3024">
        <f t="shared" si="1"/>
        <v>84.17</v>
      </c>
      <c r="M112" s="3024"/>
    </row>
    <row r="113" spans="1:13">
      <c r="A113" s="3024"/>
      <c r="B113" s="3024"/>
      <c r="C113" s="3024">
        <v>-204</v>
      </c>
      <c r="D113" s="3024"/>
      <c r="E113" s="3024">
        <v>83.45</v>
      </c>
      <c r="F113" s="3024"/>
      <c r="G113" s="3024">
        <f t="shared" si="2"/>
        <v>83.45</v>
      </c>
      <c r="H113" s="3024"/>
      <c r="I113" s="3024"/>
      <c r="J113" s="3024"/>
      <c r="K113" s="3024">
        <f t="shared" si="3"/>
        <v>83.45</v>
      </c>
      <c r="L113" s="3024">
        <f t="shared" si="1"/>
        <v>83.45</v>
      </c>
      <c r="M113" s="3024"/>
    </row>
    <row r="114" spans="1:13">
      <c r="A114" s="3024"/>
      <c r="B114" s="3024"/>
      <c r="C114" s="3024">
        <v>-205</v>
      </c>
      <c r="D114" s="3024"/>
      <c r="E114" s="3024">
        <v>84.17</v>
      </c>
      <c r="F114" s="3024"/>
      <c r="G114" s="3024">
        <f t="shared" si="2"/>
        <v>84.17</v>
      </c>
      <c r="H114" s="3024"/>
      <c r="I114" s="3024"/>
      <c r="J114" s="3024"/>
      <c r="K114" s="3024">
        <f t="shared" si="3"/>
        <v>84.17</v>
      </c>
      <c r="L114" s="3024">
        <f t="shared" si="1"/>
        <v>84.17</v>
      </c>
      <c r="M114" s="3024"/>
    </row>
    <row r="115" spans="1:13">
      <c r="A115" s="3024"/>
      <c r="B115" s="3024"/>
      <c r="C115" s="3024">
        <v>-206</v>
      </c>
      <c r="D115" s="3024"/>
      <c r="E115" s="3024">
        <v>84.17</v>
      </c>
      <c r="F115" s="3024"/>
      <c r="G115" s="3024">
        <f t="shared" si="2"/>
        <v>84.17</v>
      </c>
      <c r="H115" s="3024"/>
      <c r="I115" s="3024"/>
      <c r="J115" s="3024"/>
      <c r="K115" s="3024">
        <f t="shared" si="3"/>
        <v>84.17</v>
      </c>
      <c r="L115" s="3024">
        <f t="shared" si="1"/>
        <v>84.17</v>
      </c>
      <c r="M115" s="3024"/>
    </row>
    <row r="116" spans="1:13">
      <c r="A116" s="3024"/>
      <c r="B116" s="3024"/>
      <c r="C116" s="3024">
        <v>101</v>
      </c>
      <c r="D116" s="3024">
        <v>134.29</v>
      </c>
      <c r="E116" s="3024">
        <v>84.35</v>
      </c>
      <c r="F116" s="3024"/>
      <c r="G116" s="3024">
        <f t="shared" si="2"/>
        <v>218.64</v>
      </c>
      <c r="H116" s="3024"/>
      <c r="I116" s="3024"/>
      <c r="J116" s="3024">
        <f>J96</f>
        <v>108.67</v>
      </c>
      <c r="K116" s="3024">
        <f t="shared" si="3"/>
        <v>109.96999999999998</v>
      </c>
      <c r="L116" s="3024">
        <f t="shared" si="1"/>
        <v>218.64</v>
      </c>
      <c r="M116" s="3024">
        <f>J116+J117+J118+J119+J120+J121</f>
        <v>652.01</v>
      </c>
    </row>
    <row r="117" spans="1:13">
      <c r="A117" s="3024"/>
      <c r="B117" s="3024"/>
      <c r="C117" s="3024">
        <v>102</v>
      </c>
      <c r="D117" s="3024">
        <v>134.28</v>
      </c>
      <c r="E117" s="3024">
        <v>84.49</v>
      </c>
      <c r="F117" s="3024"/>
      <c r="G117" s="3024">
        <f t="shared" si="2"/>
        <v>218.76999999999998</v>
      </c>
      <c r="H117" s="3024"/>
      <c r="I117" s="3024"/>
      <c r="J117" s="3024">
        <f>J116</f>
        <v>108.67</v>
      </c>
      <c r="K117" s="3024">
        <f t="shared" si="3"/>
        <v>110.09999999999998</v>
      </c>
      <c r="L117" s="3024">
        <f t="shared" si="1"/>
        <v>218.76999999999998</v>
      </c>
      <c r="M117" s="3024"/>
    </row>
    <row r="118" spans="1:13">
      <c r="A118" s="3024"/>
      <c r="B118" s="3024"/>
      <c r="C118" s="3024">
        <v>103</v>
      </c>
      <c r="D118" s="3024">
        <v>134.47</v>
      </c>
      <c r="E118" s="3024">
        <v>84.77</v>
      </c>
      <c r="F118" s="3024"/>
      <c r="G118" s="3024">
        <f t="shared" si="2"/>
        <v>219.24</v>
      </c>
      <c r="H118" s="3024"/>
      <c r="I118" s="3024"/>
      <c r="J118" s="3024">
        <f>J116</f>
        <v>108.67</v>
      </c>
      <c r="K118" s="3024">
        <f t="shared" si="3"/>
        <v>110.57000000000001</v>
      </c>
      <c r="L118" s="3024">
        <f t="shared" si="1"/>
        <v>219.24</v>
      </c>
      <c r="M118" s="3024"/>
    </row>
    <row r="119" spans="1:13">
      <c r="A119" s="3024"/>
      <c r="B119" s="3024"/>
      <c r="C119" s="3024">
        <v>104</v>
      </c>
      <c r="D119" s="3024">
        <v>134.29</v>
      </c>
      <c r="E119" s="3024">
        <v>84.35</v>
      </c>
      <c r="F119" s="3024"/>
      <c r="G119" s="3024">
        <f t="shared" si="2"/>
        <v>218.64</v>
      </c>
      <c r="H119" s="3024"/>
      <c r="I119" s="3024"/>
      <c r="J119" s="3024">
        <f>J116</f>
        <v>108.67</v>
      </c>
      <c r="K119" s="3024">
        <f t="shared" si="3"/>
        <v>109.96999999999998</v>
      </c>
      <c r="L119" s="3024">
        <f t="shared" si="1"/>
        <v>218.64</v>
      </c>
      <c r="M119" s="3024"/>
    </row>
    <row r="120" spans="1:13">
      <c r="A120" s="3024"/>
      <c r="B120" s="3024"/>
      <c r="C120" s="3024">
        <v>105</v>
      </c>
      <c r="D120" s="3024">
        <v>134.28</v>
      </c>
      <c r="E120" s="3024">
        <v>84.49</v>
      </c>
      <c r="F120" s="3024"/>
      <c r="G120" s="3024">
        <f t="shared" si="2"/>
        <v>218.76999999999998</v>
      </c>
      <c r="H120" s="3024"/>
      <c r="I120" s="3024"/>
      <c r="J120" s="3024">
        <f>J116</f>
        <v>108.67</v>
      </c>
      <c r="K120" s="3024">
        <f t="shared" si="3"/>
        <v>110.09999999999998</v>
      </c>
      <c r="L120" s="3024">
        <f t="shared" si="1"/>
        <v>218.76999999999998</v>
      </c>
      <c r="M120" s="3024"/>
    </row>
    <row r="121" spans="1:13">
      <c r="A121" s="3024"/>
      <c r="B121" s="3024"/>
      <c r="C121" s="3024">
        <v>106</v>
      </c>
      <c r="D121" s="3024">
        <v>134.47</v>
      </c>
      <c r="E121" s="3024">
        <v>84.77</v>
      </c>
      <c r="F121" s="3024"/>
      <c r="G121" s="3024">
        <f>SUM(D121:F121)</f>
        <v>219.24</v>
      </c>
      <c r="H121" s="3024"/>
      <c r="I121" s="3024"/>
      <c r="J121" s="3024">
        <v>108.66</v>
      </c>
      <c r="K121" s="3024">
        <f t="shared" si="3"/>
        <v>110.58000000000001</v>
      </c>
      <c r="L121" s="3024">
        <f t="shared" si="1"/>
        <v>219.24</v>
      </c>
      <c r="M121" s="3024"/>
    </row>
    <row r="122" spans="1:13">
      <c r="A122" s="3024" t="s">
        <v>3095</v>
      </c>
      <c r="B122" s="3024">
        <v>4</v>
      </c>
      <c r="C122" s="3024">
        <v>-201</v>
      </c>
      <c r="D122" s="3024"/>
      <c r="E122" s="3024">
        <v>83.88</v>
      </c>
      <c r="F122" s="3024"/>
      <c r="G122" s="3024">
        <f t="shared" si="2"/>
        <v>83.88</v>
      </c>
      <c r="H122" s="3024">
        <f>SUM(G122:G129)</f>
        <v>1215.04</v>
      </c>
      <c r="I122" s="3024"/>
      <c r="J122" s="3024"/>
      <c r="K122" s="3024">
        <f t="shared" si="3"/>
        <v>83.88</v>
      </c>
      <c r="L122" s="3024">
        <f t="shared" si="1"/>
        <v>83.88</v>
      </c>
      <c r="M122" s="3024"/>
    </row>
    <row r="123" spans="1:13">
      <c r="A123" s="3024"/>
      <c r="B123" s="3024"/>
      <c r="C123" s="3024">
        <v>-202</v>
      </c>
      <c r="D123" s="3024"/>
      <c r="E123" s="3024">
        <v>84.6</v>
      </c>
      <c r="F123" s="3024"/>
      <c r="G123" s="3024">
        <f t="shared" si="2"/>
        <v>84.6</v>
      </c>
      <c r="H123" s="3024"/>
      <c r="I123" s="3024"/>
      <c r="J123" s="3024"/>
      <c r="K123" s="3024">
        <f t="shared" si="3"/>
        <v>84.6</v>
      </c>
      <c r="L123" s="3024">
        <f t="shared" si="1"/>
        <v>84.6</v>
      </c>
      <c r="M123" s="3024"/>
    </row>
    <row r="124" spans="1:13">
      <c r="A124" s="3024"/>
      <c r="B124" s="3024"/>
      <c r="C124" s="3024">
        <v>-203</v>
      </c>
      <c r="D124" s="3024"/>
      <c r="E124" s="3024">
        <v>83.88</v>
      </c>
      <c r="F124" s="3024"/>
      <c r="G124" s="3024">
        <f t="shared" si="2"/>
        <v>83.88</v>
      </c>
      <c r="H124" s="3024"/>
      <c r="I124" s="3024"/>
      <c r="J124" s="3024"/>
      <c r="K124" s="3024">
        <f t="shared" si="3"/>
        <v>83.88</v>
      </c>
      <c r="L124" s="3024">
        <f t="shared" si="1"/>
        <v>83.88</v>
      </c>
      <c r="M124" s="3024"/>
    </row>
    <row r="125" spans="1:13">
      <c r="A125" s="3024"/>
      <c r="B125" s="3024"/>
      <c r="C125" s="3024">
        <v>-204</v>
      </c>
      <c r="D125" s="3024"/>
      <c r="E125" s="3024">
        <v>84.6</v>
      </c>
      <c r="F125" s="3024"/>
      <c r="G125" s="3024">
        <f t="shared" si="2"/>
        <v>84.6</v>
      </c>
      <c r="H125" s="3024"/>
      <c r="I125" s="3024"/>
      <c r="J125" s="3024"/>
      <c r="K125" s="3024">
        <f t="shared" si="3"/>
        <v>84.6</v>
      </c>
      <c r="L125" s="3024">
        <f t="shared" si="1"/>
        <v>84.6</v>
      </c>
      <c r="M125" s="3024"/>
    </row>
    <row r="126" spans="1:13">
      <c r="A126" s="3024"/>
      <c r="B126" s="3024"/>
      <c r="C126" s="3024">
        <v>101</v>
      </c>
      <c r="D126" s="3024">
        <v>134.63999999999999</v>
      </c>
      <c r="E126" s="3024">
        <v>84.58</v>
      </c>
      <c r="F126" s="3024"/>
      <c r="G126" s="3024">
        <f>SUM(D126:F126)</f>
        <v>219.21999999999997</v>
      </c>
      <c r="H126" s="3024"/>
      <c r="I126" s="3024"/>
      <c r="J126" s="3024">
        <f>J106</f>
        <v>108.89</v>
      </c>
      <c r="K126" s="3024">
        <f t="shared" si="3"/>
        <v>110.32999999999997</v>
      </c>
      <c r="L126" s="3024">
        <f t="shared" si="1"/>
        <v>219.21999999999997</v>
      </c>
      <c r="M126" s="3024">
        <f>J126+J127+J128+J129</f>
        <v>435.56</v>
      </c>
    </row>
    <row r="127" spans="1:13">
      <c r="A127" s="3024"/>
      <c r="B127" s="3024"/>
      <c r="C127" s="3024">
        <v>102</v>
      </c>
      <c r="D127" s="3024">
        <v>134.83000000000001</v>
      </c>
      <c r="E127" s="3024">
        <v>84.99</v>
      </c>
      <c r="F127" s="3024"/>
      <c r="G127" s="3024">
        <f t="shared" si="2"/>
        <v>219.82</v>
      </c>
      <c r="H127" s="3024"/>
      <c r="I127" s="3024"/>
      <c r="J127" s="3024">
        <f>J107</f>
        <v>108.89</v>
      </c>
      <c r="K127" s="3024">
        <f t="shared" si="3"/>
        <v>110.92999999999999</v>
      </c>
      <c r="L127" s="3024">
        <f t="shared" si="1"/>
        <v>219.82</v>
      </c>
      <c r="M127" s="3024"/>
    </row>
    <row r="128" spans="1:13">
      <c r="A128" s="3024"/>
      <c r="B128" s="3024"/>
      <c r="C128" s="3024">
        <v>103</v>
      </c>
      <c r="D128" s="3024">
        <v>134.63999999999999</v>
      </c>
      <c r="E128" s="3024">
        <v>84.58</v>
      </c>
      <c r="F128" s="3024"/>
      <c r="G128" s="3024">
        <f t="shared" si="2"/>
        <v>219.21999999999997</v>
      </c>
      <c r="H128" s="3024"/>
      <c r="I128" s="3024"/>
      <c r="J128" s="3024">
        <f>J108</f>
        <v>108.89</v>
      </c>
      <c r="K128" s="3024">
        <f t="shared" si="3"/>
        <v>110.32999999999997</v>
      </c>
      <c r="L128" s="3024">
        <f t="shared" si="1"/>
        <v>219.21999999999997</v>
      </c>
      <c r="M128" s="3024"/>
    </row>
    <row r="129" spans="1:13">
      <c r="A129" s="3024"/>
      <c r="B129" s="3024"/>
      <c r="C129" s="3024">
        <v>104</v>
      </c>
      <c r="D129" s="3024">
        <v>134.83000000000001</v>
      </c>
      <c r="E129" s="3024">
        <v>84.99</v>
      </c>
      <c r="F129" s="3024"/>
      <c r="G129" s="3024">
        <f t="shared" si="2"/>
        <v>219.82</v>
      </c>
      <c r="H129" s="3024"/>
      <c r="I129" s="3024"/>
      <c r="J129" s="3024">
        <f>J109</f>
        <v>108.89</v>
      </c>
      <c r="K129" s="3024">
        <f t="shared" si="3"/>
        <v>110.92999999999999</v>
      </c>
      <c r="L129" s="3024">
        <f t="shared" si="1"/>
        <v>219.82</v>
      </c>
      <c r="M129" s="3024"/>
    </row>
    <row r="130" spans="1:13">
      <c r="A130" s="3024" t="s">
        <v>3063</v>
      </c>
      <c r="B130" s="3024">
        <v>2</v>
      </c>
      <c r="C130" s="3024">
        <v>-201</v>
      </c>
      <c r="D130" s="3024"/>
      <c r="E130" s="3024">
        <v>84.75</v>
      </c>
      <c r="F130" s="3024"/>
      <c r="G130" s="3024">
        <f t="shared" si="2"/>
        <v>84.75</v>
      </c>
      <c r="H130" s="3024">
        <f>SUM(G130:G133)</f>
        <v>622.58000000000004</v>
      </c>
      <c r="I130" s="3024"/>
      <c r="J130" s="3024"/>
      <c r="K130" s="3024">
        <f t="shared" si="3"/>
        <v>84.75</v>
      </c>
      <c r="L130" s="3024">
        <f t="shared" si="1"/>
        <v>84.75</v>
      </c>
      <c r="M130" s="3024"/>
    </row>
    <row r="131" spans="1:13">
      <c r="A131" s="3024"/>
      <c r="B131" s="3024"/>
      <c r="C131" s="3024">
        <v>-202</v>
      </c>
      <c r="D131" s="3024"/>
      <c r="E131" s="3024">
        <v>85.48</v>
      </c>
      <c r="F131" s="3024"/>
      <c r="G131" s="3024">
        <f t="shared" si="2"/>
        <v>85.48</v>
      </c>
      <c r="H131" s="3024"/>
      <c r="I131" s="3024"/>
      <c r="J131" s="3024"/>
      <c r="K131" s="3024">
        <f t="shared" si="3"/>
        <v>85.48</v>
      </c>
      <c r="L131" s="3024">
        <f t="shared" si="1"/>
        <v>85.48</v>
      </c>
      <c r="M131" s="3024"/>
    </row>
    <row r="132" spans="1:13">
      <c r="A132" s="3024"/>
      <c r="B132" s="3024"/>
      <c r="C132" s="3024">
        <v>101</v>
      </c>
      <c r="D132" s="3024">
        <v>139.03</v>
      </c>
      <c r="E132" s="3024">
        <v>86.83</v>
      </c>
      <c r="F132" s="3024"/>
      <c r="G132" s="3024">
        <f t="shared" si="2"/>
        <v>225.86</v>
      </c>
      <c r="H132" s="3024"/>
      <c r="I132" s="3024"/>
      <c r="J132" s="3024">
        <f>ROUND(225.49/2,2)</f>
        <v>112.75</v>
      </c>
      <c r="K132" s="3024">
        <f t="shared" si="3"/>
        <v>113.11000000000001</v>
      </c>
      <c r="L132" s="3024">
        <f t="shared" si="1"/>
        <v>225.86</v>
      </c>
      <c r="M132" s="3024">
        <f>J132+J133</f>
        <v>225.49</v>
      </c>
    </row>
    <row r="133" spans="1:13">
      <c r="A133" s="3024"/>
      <c r="B133" s="3024"/>
      <c r="C133" s="3024">
        <v>102</v>
      </c>
      <c r="D133" s="3024">
        <v>139.24</v>
      </c>
      <c r="E133" s="3024">
        <v>87.25</v>
      </c>
      <c r="F133" s="3024"/>
      <c r="G133" s="3024">
        <f t="shared" si="2"/>
        <v>226.49</v>
      </c>
      <c r="H133" s="3024"/>
      <c r="I133" s="3024"/>
      <c r="J133" s="3024">
        <f>225.49-J132</f>
        <v>112.74000000000001</v>
      </c>
      <c r="K133" s="3024">
        <f t="shared" si="3"/>
        <v>113.75</v>
      </c>
      <c r="L133" s="3024">
        <f t="shared" si="1"/>
        <v>226.49</v>
      </c>
      <c r="M133" s="3024"/>
    </row>
    <row r="134" spans="1:13">
      <c r="A134" s="3024" t="s">
        <v>3096</v>
      </c>
      <c r="B134" s="3024">
        <v>3</v>
      </c>
      <c r="C134" s="3024">
        <v>-201</v>
      </c>
      <c r="D134" s="3024"/>
      <c r="E134" s="3024">
        <v>85.35</v>
      </c>
      <c r="F134" s="3024"/>
      <c r="G134" s="3024">
        <f t="shared" si="2"/>
        <v>85.35</v>
      </c>
      <c r="H134" s="3024">
        <f>SUM(G134:G139)</f>
        <v>935.79</v>
      </c>
      <c r="I134" s="3024"/>
      <c r="J134" s="3024"/>
      <c r="K134" s="3024">
        <f t="shared" si="3"/>
        <v>85.35</v>
      </c>
      <c r="L134" s="3024">
        <f t="shared" si="1"/>
        <v>85.35</v>
      </c>
      <c r="M134" s="3024"/>
    </row>
    <row r="135" spans="1:13">
      <c r="A135" s="3024"/>
      <c r="B135" s="3024"/>
      <c r="C135" s="3024">
        <v>-202</v>
      </c>
      <c r="D135" s="3024"/>
      <c r="E135" s="3024">
        <v>86.06</v>
      </c>
      <c r="F135" s="3024"/>
      <c r="G135" s="3024">
        <f t="shared" si="2"/>
        <v>86.06</v>
      </c>
      <c r="H135" s="3024"/>
      <c r="I135" s="3024"/>
      <c r="J135" s="3024"/>
      <c r="K135" s="3024">
        <f t="shared" si="3"/>
        <v>86.06</v>
      </c>
      <c r="L135" s="3024">
        <f t="shared" si="1"/>
        <v>86.06</v>
      </c>
      <c r="M135" s="3024"/>
    </row>
    <row r="136" spans="1:13">
      <c r="A136" s="3024"/>
      <c r="B136" s="3024"/>
      <c r="C136" s="3024">
        <v>-203</v>
      </c>
      <c r="D136" s="3024"/>
      <c r="E136" s="3024">
        <v>86.06</v>
      </c>
      <c r="F136" s="3024"/>
      <c r="G136" s="3024">
        <f t="shared" si="2"/>
        <v>86.06</v>
      </c>
      <c r="H136" s="3024"/>
      <c r="I136" s="3024"/>
      <c r="J136" s="3024"/>
      <c r="K136" s="3024">
        <f t="shared" si="3"/>
        <v>86.06</v>
      </c>
      <c r="L136" s="3024">
        <f t="shared" si="1"/>
        <v>86.06</v>
      </c>
      <c r="M136" s="3024"/>
    </row>
    <row r="137" spans="1:13">
      <c r="A137" s="3024"/>
      <c r="B137" s="3024"/>
      <c r="C137" s="3024">
        <v>101</v>
      </c>
      <c r="D137" s="3024">
        <v>138.47</v>
      </c>
      <c r="E137" s="3024">
        <v>86.98</v>
      </c>
      <c r="F137" s="3024"/>
      <c r="G137" s="3024">
        <f t="shared" si="2"/>
        <v>225.45</v>
      </c>
      <c r="H137" s="3024"/>
      <c r="I137" s="3024"/>
      <c r="J137" s="3024">
        <f>ROUND(337.54/3,2)</f>
        <v>112.51</v>
      </c>
      <c r="K137" s="3024">
        <f t="shared" si="3"/>
        <v>112.93999999999998</v>
      </c>
      <c r="L137" s="3024">
        <f t="shared" si="1"/>
        <v>225.45</v>
      </c>
      <c r="M137" s="3024">
        <f>J137+J138+J139</f>
        <v>337.54</v>
      </c>
    </row>
    <row r="138" spans="1:13">
      <c r="A138" s="3024"/>
      <c r="B138" s="3024"/>
      <c r="C138" s="3024">
        <v>102</v>
      </c>
      <c r="D138" s="3024">
        <v>138.47</v>
      </c>
      <c r="E138" s="3024">
        <v>87.12</v>
      </c>
      <c r="F138" s="3024"/>
      <c r="G138" s="3024">
        <f t="shared" si="2"/>
        <v>225.59</v>
      </c>
      <c r="H138" s="3024"/>
      <c r="I138" s="3024"/>
      <c r="J138" s="3024">
        <f>J137</f>
        <v>112.51</v>
      </c>
      <c r="K138" s="3024">
        <f t="shared" si="3"/>
        <v>113.08</v>
      </c>
      <c r="L138" s="3024">
        <f t="shared" si="1"/>
        <v>225.59</v>
      </c>
      <c r="M138" s="3024"/>
    </row>
    <row r="139" spans="1:13">
      <c r="A139" s="3024"/>
      <c r="B139" s="3024"/>
      <c r="C139" s="3024">
        <v>103</v>
      </c>
      <c r="D139" s="3024">
        <v>138.68</v>
      </c>
      <c r="E139" s="3024">
        <v>88.6</v>
      </c>
      <c r="F139" s="3024"/>
      <c r="G139" s="3024">
        <f t="shared" si="2"/>
        <v>227.28</v>
      </c>
      <c r="H139" s="3024"/>
      <c r="I139" s="3024"/>
      <c r="J139" s="3024">
        <f>337.54-J137-J138</f>
        <v>112.52000000000002</v>
      </c>
      <c r="K139" s="3024">
        <f t="shared" si="3"/>
        <v>114.75999999999998</v>
      </c>
      <c r="L139" s="3024">
        <f t="shared" si="1"/>
        <v>227.28</v>
      </c>
      <c r="M139" s="3024"/>
    </row>
    <row r="140" spans="1:13">
      <c r="A140" s="3024" t="s">
        <v>3097</v>
      </c>
      <c r="B140" s="3024">
        <v>6</v>
      </c>
      <c r="C140" s="3024">
        <v>-201</v>
      </c>
      <c r="D140" s="3024"/>
      <c r="E140" s="3024">
        <v>83.45</v>
      </c>
      <c r="F140" s="3024"/>
      <c r="G140" s="3024">
        <f t="shared" si="2"/>
        <v>83.45</v>
      </c>
      <c r="H140" s="3024">
        <f>SUM(G140:G151)</f>
        <v>1816.8799999999999</v>
      </c>
      <c r="I140" s="3024"/>
      <c r="J140" s="3024"/>
      <c r="K140" s="3024">
        <f t="shared" si="3"/>
        <v>83.45</v>
      </c>
      <c r="L140" s="3024">
        <f t="shared" si="1"/>
        <v>83.45</v>
      </c>
      <c r="M140" s="3024"/>
    </row>
    <row r="141" spans="1:13">
      <c r="A141" s="3024"/>
      <c r="B141" s="3024"/>
      <c r="C141" s="3024">
        <v>-202</v>
      </c>
      <c r="D141" s="3024"/>
      <c r="E141" s="3024">
        <v>84.17</v>
      </c>
      <c r="F141" s="3024"/>
      <c r="G141" s="3024">
        <f t="shared" si="2"/>
        <v>84.17</v>
      </c>
      <c r="H141" s="3024"/>
      <c r="I141" s="3024"/>
      <c r="J141" s="3024"/>
      <c r="K141" s="3024">
        <f t="shared" si="3"/>
        <v>84.17</v>
      </c>
      <c r="L141" s="3024">
        <f t="shared" si="1"/>
        <v>84.17</v>
      </c>
      <c r="M141" s="3024"/>
    </row>
    <row r="142" spans="1:13">
      <c r="A142" s="3024"/>
      <c r="B142" s="3024"/>
      <c r="C142" s="3024">
        <v>-203</v>
      </c>
      <c r="D142" s="3024"/>
      <c r="E142" s="3024">
        <v>84.17</v>
      </c>
      <c r="F142" s="3024"/>
      <c r="G142" s="3024">
        <f t="shared" si="2"/>
        <v>84.17</v>
      </c>
      <c r="H142" s="3024"/>
      <c r="I142" s="3024"/>
      <c r="J142" s="3024"/>
      <c r="K142" s="3024">
        <f t="shared" si="3"/>
        <v>84.17</v>
      </c>
      <c r="L142" s="3024">
        <f t="shared" si="1"/>
        <v>84.17</v>
      </c>
      <c r="M142" s="3024"/>
    </row>
    <row r="143" spans="1:13">
      <c r="A143" s="3024"/>
      <c r="B143" s="3024"/>
      <c r="C143" s="3024">
        <v>-204</v>
      </c>
      <c r="D143" s="3024"/>
      <c r="E143" s="3024">
        <v>83.45</v>
      </c>
      <c r="F143" s="3024"/>
      <c r="G143" s="3024">
        <f t="shared" si="2"/>
        <v>83.45</v>
      </c>
      <c r="H143" s="3024"/>
      <c r="I143" s="3024"/>
      <c r="J143" s="3024"/>
      <c r="K143" s="3024">
        <f t="shared" si="3"/>
        <v>83.45</v>
      </c>
      <c r="L143" s="3024">
        <f t="shared" si="1"/>
        <v>83.45</v>
      </c>
      <c r="M143" s="3024"/>
    </row>
    <row r="144" spans="1:13">
      <c r="A144" s="3024"/>
      <c r="B144" s="3024"/>
      <c r="C144" s="3024">
        <v>-205</v>
      </c>
      <c r="D144" s="3024"/>
      <c r="E144" s="3024">
        <v>84.17</v>
      </c>
      <c r="F144" s="3024"/>
      <c r="G144" s="3024">
        <f t="shared" si="2"/>
        <v>84.17</v>
      </c>
      <c r="H144" s="3024"/>
      <c r="I144" s="3024"/>
      <c r="J144" s="3024"/>
      <c r="K144" s="3024">
        <f t="shared" si="3"/>
        <v>84.17</v>
      </c>
      <c r="L144" s="3024">
        <f t="shared" si="1"/>
        <v>84.17</v>
      </c>
      <c r="M144" s="3024"/>
    </row>
    <row r="145" spans="1:13">
      <c r="A145" s="3024"/>
      <c r="B145" s="3024"/>
      <c r="C145" s="3024">
        <v>-206</v>
      </c>
      <c r="D145" s="3024"/>
      <c r="E145" s="3024">
        <v>84.17</v>
      </c>
      <c r="F145" s="3024"/>
      <c r="G145" s="3024">
        <f>SUM(D145:F145)</f>
        <v>84.17</v>
      </c>
      <c r="H145" s="3024"/>
      <c r="I145" s="3024"/>
      <c r="J145" s="3024"/>
      <c r="K145" s="3024">
        <f t="shared" si="3"/>
        <v>84.17</v>
      </c>
      <c r="L145" s="3024">
        <f t="shared" si="1"/>
        <v>84.17</v>
      </c>
      <c r="M145" s="3024"/>
    </row>
    <row r="146" spans="1:13">
      <c r="A146" s="3024"/>
      <c r="B146" s="3024"/>
      <c r="C146" s="3024">
        <v>101</v>
      </c>
      <c r="D146" s="3024">
        <v>134.29</v>
      </c>
      <c r="E146" s="3024">
        <v>84.35</v>
      </c>
      <c r="F146" s="3024"/>
      <c r="G146" s="3024">
        <f t="shared" si="2"/>
        <v>218.64</v>
      </c>
      <c r="H146" s="3024"/>
      <c r="I146" s="3024"/>
      <c r="J146" s="3024">
        <f>J116</f>
        <v>108.67</v>
      </c>
      <c r="K146" s="3024">
        <f t="shared" si="3"/>
        <v>109.96999999999998</v>
      </c>
      <c r="L146" s="3024">
        <f t="shared" si="1"/>
        <v>218.64</v>
      </c>
      <c r="M146" s="3024">
        <f>J146+J147+J148+J149+J150+J151</f>
        <v>652.01</v>
      </c>
    </row>
    <row r="147" spans="1:13">
      <c r="A147" s="3024"/>
      <c r="B147" s="3024"/>
      <c r="C147" s="3024">
        <v>102</v>
      </c>
      <c r="D147" s="3024">
        <v>134.28</v>
      </c>
      <c r="E147" s="3024">
        <v>84.49</v>
      </c>
      <c r="F147" s="3024"/>
      <c r="G147" s="3024">
        <f t="shared" si="2"/>
        <v>218.76999999999998</v>
      </c>
      <c r="H147" s="3024"/>
      <c r="I147" s="3024"/>
      <c r="J147" s="3024">
        <f>J146</f>
        <v>108.67</v>
      </c>
      <c r="K147" s="3024">
        <f t="shared" si="3"/>
        <v>110.09999999999998</v>
      </c>
      <c r="L147" s="3024">
        <f t="shared" si="1"/>
        <v>218.76999999999998</v>
      </c>
      <c r="M147" s="3024"/>
    </row>
    <row r="148" spans="1:13">
      <c r="A148" s="3024"/>
      <c r="B148" s="3024"/>
      <c r="C148" s="3024">
        <v>103</v>
      </c>
      <c r="D148" s="3024">
        <v>134.47</v>
      </c>
      <c r="E148" s="3024">
        <v>84.77</v>
      </c>
      <c r="F148" s="3024"/>
      <c r="G148" s="3024">
        <f t="shared" si="2"/>
        <v>219.24</v>
      </c>
      <c r="H148" s="3024"/>
      <c r="I148" s="3024"/>
      <c r="J148" s="3024">
        <f>J146</f>
        <v>108.67</v>
      </c>
      <c r="K148" s="3024">
        <f t="shared" si="3"/>
        <v>110.57000000000001</v>
      </c>
      <c r="L148" s="3024">
        <f t="shared" si="1"/>
        <v>219.24</v>
      </c>
      <c r="M148" s="3024"/>
    </row>
    <row r="149" spans="1:13">
      <c r="A149" s="3024"/>
      <c r="B149" s="3024"/>
      <c r="C149" s="3024">
        <v>104</v>
      </c>
      <c r="D149" s="3024">
        <v>134.29</v>
      </c>
      <c r="E149" s="3024">
        <v>84.35</v>
      </c>
      <c r="F149" s="3024"/>
      <c r="G149" s="3024">
        <f t="shared" si="2"/>
        <v>218.64</v>
      </c>
      <c r="H149" s="3024"/>
      <c r="I149" s="3024"/>
      <c r="J149" s="3024">
        <f>J146</f>
        <v>108.67</v>
      </c>
      <c r="K149" s="3024">
        <f t="shared" si="3"/>
        <v>109.96999999999998</v>
      </c>
      <c r="L149" s="3024">
        <f t="shared" si="1"/>
        <v>218.64</v>
      </c>
      <c r="M149" s="3024"/>
    </row>
    <row r="150" spans="1:13">
      <c r="A150" s="3024"/>
      <c r="B150" s="3024"/>
      <c r="C150" s="3024">
        <v>105</v>
      </c>
      <c r="D150" s="3024">
        <v>134.28</v>
      </c>
      <c r="E150" s="3024">
        <v>84.49</v>
      </c>
      <c r="F150" s="3024"/>
      <c r="G150" s="3024">
        <f t="shared" si="2"/>
        <v>218.76999999999998</v>
      </c>
      <c r="H150" s="3024"/>
      <c r="I150" s="3024"/>
      <c r="J150" s="3024">
        <f>J146</f>
        <v>108.67</v>
      </c>
      <c r="K150" s="3024">
        <f t="shared" si="3"/>
        <v>110.09999999999998</v>
      </c>
      <c r="L150" s="3024">
        <f t="shared" si="1"/>
        <v>218.76999999999998</v>
      </c>
      <c r="M150" s="3024"/>
    </row>
    <row r="151" spans="1:13">
      <c r="A151" s="3024"/>
      <c r="B151" s="3024"/>
      <c r="C151" s="3024">
        <v>106</v>
      </c>
      <c r="D151" s="3024">
        <v>134.47</v>
      </c>
      <c r="E151" s="3024">
        <v>84.77</v>
      </c>
      <c r="F151" s="3024"/>
      <c r="G151" s="3024">
        <f t="shared" si="2"/>
        <v>219.24</v>
      </c>
      <c r="H151" s="3024"/>
      <c r="I151" s="3024"/>
      <c r="J151" s="3024">
        <f>J121</f>
        <v>108.66</v>
      </c>
      <c r="K151" s="3024">
        <f t="shared" si="3"/>
        <v>110.58000000000001</v>
      </c>
      <c r="L151" s="3024">
        <f t="shared" si="1"/>
        <v>219.24</v>
      </c>
      <c r="M151" s="3024"/>
    </row>
    <row r="152" spans="1:13">
      <c r="A152" s="3024" t="s">
        <v>3064</v>
      </c>
      <c r="B152" s="3024">
        <v>4</v>
      </c>
      <c r="C152" s="3024">
        <v>-201</v>
      </c>
      <c r="D152" s="3024"/>
      <c r="E152" s="3024">
        <v>83.88</v>
      </c>
      <c r="F152" s="3024"/>
      <c r="G152" s="3024">
        <f t="shared" si="2"/>
        <v>83.88</v>
      </c>
      <c r="H152" s="3024">
        <f>SUM(G152:G159)</f>
        <v>1215.04</v>
      </c>
      <c r="I152" s="3024"/>
      <c r="J152" s="3024"/>
      <c r="K152" s="3024">
        <f t="shared" si="3"/>
        <v>83.88</v>
      </c>
      <c r="L152" s="3024">
        <f t="shared" si="1"/>
        <v>83.88</v>
      </c>
      <c r="M152" s="3024"/>
    </row>
    <row r="153" spans="1:13">
      <c r="A153" s="3024"/>
      <c r="B153" s="3024"/>
      <c r="C153" s="3024">
        <v>-202</v>
      </c>
      <c r="D153" s="3024"/>
      <c r="E153" s="3024">
        <v>84.6</v>
      </c>
      <c r="F153" s="3024"/>
      <c r="G153" s="3024">
        <f t="shared" si="2"/>
        <v>84.6</v>
      </c>
      <c r="H153" s="3024"/>
      <c r="I153" s="3024"/>
      <c r="J153" s="3024"/>
      <c r="K153" s="3024">
        <f t="shared" si="3"/>
        <v>84.6</v>
      </c>
      <c r="L153" s="3024">
        <f t="shared" si="1"/>
        <v>84.6</v>
      </c>
      <c r="M153" s="3024"/>
    </row>
    <row r="154" spans="1:13">
      <c r="A154" s="3024"/>
      <c r="B154" s="3024"/>
      <c r="C154" s="3024">
        <v>-203</v>
      </c>
      <c r="D154" s="3024"/>
      <c r="E154" s="3024">
        <v>83.88</v>
      </c>
      <c r="F154" s="3024"/>
      <c r="G154" s="3024">
        <f t="shared" si="2"/>
        <v>83.88</v>
      </c>
      <c r="H154" s="3024"/>
      <c r="I154" s="3024"/>
      <c r="J154" s="3024"/>
      <c r="K154" s="3024">
        <f t="shared" si="3"/>
        <v>83.88</v>
      </c>
      <c r="L154" s="3024">
        <f t="shared" si="1"/>
        <v>83.88</v>
      </c>
      <c r="M154" s="3024"/>
    </row>
    <row r="155" spans="1:13">
      <c r="A155" s="3024"/>
      <c r="B155" s="3024"/>
      <c r="C155" s="3024">
        <v>-204</v>
      </c>
      <c r="D155" s="3024"/>
      <c r="E155" s="3024">
        <v>84.6</v>
      </c>
      <c r="F155" s="3024"/>
      <c r="G155" s="3024">
        <f t="shared" si="2"/>
        <v>84.6</v>
      </c>
      <c r="H155" s="3024"/>
      <c r="I155" s="3024"/>
      <c r="J155" s="3024"/>
      <c r="K155" s="3024">
        <f t="shared" si="3"/>
        <v>84.6</v>
      </c>
      <c r="L155" s="3024">
        <f t="shared" si="1"/>
        <v>84.6</v>
      </c>
      <c r="M155" s="3024"/>
    </row>
    <row r="156" spans="1:13">
      <c r="A156" s="3024"/>
      <c r="B156" s="3024"/>
      <c r="C156" s="3024">
        <v>101</v>
      </c>
      <c r="D156" s="3024">
        <v>134.63999999999999</v>
      </c>
      <c r="E156" s="3024">
        <v>84.58</v>
      </c>
      <c r="F156" s="3024"/>
      <c r="G156" s="3024">
        <f t="shared" si="2"/>
        <v>219.21999999999997</v>
      </c>
      <c r="H156" s="3024"/>
      <c r="I156" s="3024"/>
      <c r="J156" s="3024">
        <f>J126</f>
        <v>108.89</v>
      </c>
      <c r="K156" s="3024">
        <f t="shared" si="3"/>
        <v>110.32999999999997</v>
      </c>
      <c r="L156" s="3024">
        <f t="shared" si="1"/>
        <v>219.21999999999997</v>
      </c>
      <c r="M156" s="3024">
        <f>J156+J157+J158+J159</f>
        <v>435.56</v>
      </c>
    </row>
    <row r="157" spans="1:13">
      <c r="A157" s="3024"/>
      <c r="B157" s="3024"/>
      <c r="C157" s="3024">
        <v>102</v>
      </c>
      <c r="D157" s="3024">
        <v>134.83000000000001</v>
      </c>
      <c r="E157" s="3024">
        <v>84.99</v>
      </c>
      <c r="F157" s="3024"/>
      <c r="G157" s="3024">
        <f t="shared" si="2"/>
        <v>219.82</v>
      </c>
      <c r="H157" s="3024"/>
      <c r="I157" s="3024"/>
      <c r="J157" s="3024">
        <f>J156</f>
        <v>108.89</v>
      </c>
      <c r="K157" s="3024">
        <f t="shared" si="3"/>
        <v>110.92999999999999</v>
      </c>
      <c r="L157" s="3024">
        <f t="shared" si="1"/>
        <v>219.82</v>
      </c>
      <c r="M157" s="3024"/>
    </row>
    <row r="158" spans="1:13">
      <c r="A158" s="3024"/>
      <c r="B158" s="3024"/>
      <c r="C158" s="3024">
        <v>103</v>
      </c>
      <c r="D158" s="3024">
        <v>134.63999999999999</v>
      </c>
      <c r="E158" s="3024">
        <v>84.58</v>
      </c>
      <c r="F158" s="3024"/>
      <c r="G158" s="3024">
        <f t="shared" si="2"/>
        <v>219.21999999999997</v>
      </c>
      <c r="H158" s="3024"/>
      <c r="I158" s="3024"/>
      <c r="J158" s="3024">
        <f>J156</f>
        <v>108.89</v>
      </c>
      <c r="K158" s="3024">
        <f t="shared" si="3"/>
        <v>110.32999999999997</v>
      </c>
      <c r="L158" s="3024">
        <f t="shared" si="1"/>
        <v>219.21999999999997</v>
      </c>
      <c r="M158" s="3024"/>
    </row>
    <row r="159" spans="1:13">
      <c r="A159" s="3024"/>
      <c r="B159" s="3024"/>
      <c r="C159" s="3024">
        <v>104</v>
      </c>
      <c r="D159" s="3024">
        <v>134.83000000000001</v>
      </c>
      <c r="E159" s="3024">
        <v>84.99</v>
      </c>
      <c r="F159" s="3024"/>
      <c r="G159" s="3024">
        <f t="shared" si="2"/>
        <v>219.82</v>
      </c>
      <c r="H159" s="3024"/>
      <c r="I159" s="3024"/>
      <c r="J159" s="3024">
        <f>J156</f>
        <v>108.89</v>
      </c>
      <c r="K159" s="3024">
        <f t="shared" si="3"/>
        <v>110.92999999999999</v>
      </c>
      <c r="L159" s="3024">
        <f t="shared" si="1"/>
        <v>219.82</v>
      </c>
      <c r="M159" s="3024"/>
    </row>
    <row r="160" spans="1:13">
      <c r="A160" s="3024" t="s">
        <v>3098</v>
      </c>
      <c r="B160" s="3024">
        <v>6</v>
      </c>
      <c r="C160" s="3024">
        <v>-201</v>
      </c>
      <c r="D160" s="3024"/>
      <c r="E160" s="3024">
        <v>83.63</v>
      </c>
      <c r="F160" s="3024"/>
      <c r="G160" s="3024">
        <f t="shared" si="2"/>
        <v>83.63</v>
      </c>
      <c r="H160" s="3024">
        <f>SUM(G160:G171)</f>
        <v>1817.96</v>
      </c>
      <c r="I160" s="3024"/>
      <c r="J160" s="3024"/>
      <c r="K160" s="3024">
        <f t="shared" si="3"/>
        <v>83.63</v>
      </c>
      <c r="L160" s="3024">
        <f t="shared" si="1"/>
        <v>83.63</v>
      </c>
      <c r="M160" s="3024"/>
    </row>
    <row r="161" spans="1:13">
      <c r="A161" s="3024"/>
      <c r="B161" s="3024"/>
      <c r="C161" s="3024">
        <v>-202</v>
      </c>
      <c r="D161" s="3024"/>
      <c r="E161" s="3024">
        <v>84.36</v>
      </c>
      <c r="F161" s="3024"/>
      <c r="G161" s="3024">
        <f t="shared" si="2"/>
        <v>84.36</v>
      </c>
      <c r="H161" s="3024"/>
      <c r="I161" s="3024"/>
      <c r="J161" s="3024"/>
      <c r="K161" s="3024">
        <f t="shared" si="3"/>
        <v>84.36</v>
      </c>
      <c r="L161" s="3024">
        <f t="shared" si="1"/>
        <v>84.36</v>
      </c>
      <c r="M161" s="3024"/>
    </row>
    <row r="162" spans="1:13">
      <c r="A162" s="3024"/>
      <c r="B162" s="3024"/>
      <c r="C162" s="3024">
        <v>-203</v>
      </c>
      <c r="D162" s="3024"/>
      <c r="E162" s="3024">
        <v>84.36</v>
      </c>
      <c r="F162" s="3024"/>
      <c r="G162" s="3024">
        <f t="shared" si="2"/>
        <v>84.36</v>
      </c>
      <c r="H162" s="3024"/>
      <c r="I162" s="3024"/>
      <c r="J162" s="3024"/>
      <c r="K162" s="3024">
        <f t="shared" si="3"/>
        <v>84.36</v>
      </c>
      <c r="L162" s="3024">
        <f t="shared" si="1"/>
        <v>84.36</v>
      </c>
      <c r="M162" s="3024"/>
    </row>
    <row r="163" spans="1:13">
      <c r="A163" s="3024"/>
      <c r="B163" s="3024"/>
      <c r="C163" s="3024">
        <v>-204</v>
      </c>
      <c r="D163" s="3024"/>
      <c r="E163" s="3024">
        <v>83.63</v>
      </c>
      <c r="F163" s="3024"/>
      <c r="G163" s="3024">
        <f>SUM(D163:F163)</f>
        <v>83.63</v>
      </c>
      <c r="H163" s="3024"/>
      <c r="I163" s="3024"/>
      <c r="J163" s="3024"/>
      <c r="K163" s="3024">
        <f t="shared" si="3"/>
        <v>83.63</v>
      </c>
      <c r="L163" s="3024">
        <f>J163+K163</f>
        <v>83.63</v>
      </c>
      <c r="M163" s="3024"/>
    </row>
    <row r="164" spans="1:13">
      <c r="A164" s="3024"/>
      <c r="B164" s="3024"/>
      <c r="C164" s="3024">
        <v>-205</v>
      </c>
      <c r="D164" s="3024"/>
      <c r="E164" s="3024">
        <v>84.36</v>
      </c>
      <c r="F164" s="3024"/>
      <c r="G164" s="3024">
        <f t="shared" si="2"/>
        <v>84.36</v>
      </c>
      <c r="H164" s="3024"/>
      <c r="I164" s="3024"/>
      <c r="J164" s="3024"/>
      <c r="K164" s="3024">
        <f t="shared" si="3"/>
        <v>84.36</v>
      </c>
      <c r="L164" s="3024">
        <f t="shared" ref="L164:L171" si="7">J164+K164</f>
        <v>84.36</v>
      </c>
      <c r="M164" s="3024"/>
    </row>
    <row r="165" spans="1:13">
      <c r="A165" s="3024"/>
      <c r="B165" s="3024"/>
      <c r="C165" s="3024">
        <v>-206</v>
      </c>
      <c r="D165" s="3024"/>
      <c r="E165" s="3024">
        <v>84.36</v>
      </c>
      <c r="F165" s="3024"/>
      <c r="G165" s="3024">
        <f t="shared" si="2"/>
        <v>84.36</v>
      </c>
      <c r="H165" s="3024"/>
      <c r="I165" s="3024"/>
      <c r="J165" s="3024"/>
      <c r="K165" s="3024">
        <f t="shared" si="3"/>
        <v>84.36</v>
      </c>
      <c r="L165" s="3024">
        <f t="shared" si="7"/>
        <v>84.36</v>
      </c>
      <c r="M165" s="3024"/>
    </row>
    <row r="166" spans="1:13">
      <c r="A166" s="3024"/>
      <c r="B166" s="3024"/>
      <c r="C166" s="3024">
        <v>101</v>
      </c>
      <c r="D166" s="3024">
        <v>134.27000000000001</v>
      </c>
      <c r="E166" s="3024">
        <v>84.36</v>
      </c>
      <c r="F166" s="3024"/>
      <c r="G166" s="3024">
        <f t="shared" si="2"/>
        <v>218.63</v>
      </c>
      <c r="H166" s="3024"/>
      <c r="I166" s="3024"/>
      <c r="J166" s="3024">
        <f>J146</f>
        <v>108.67</v>
      </c>
      <c r="K166" s="3024">
        <f t="shared" si="3"/>
        <v>109.96</v>
      </c>
      <c r="L166" s="3024">
        <f t="shared" si="7"/>
        <v>218.63</v>
      </c>
      <c r="M166" s="3024">
        <f>J166+J167+J168+J169+J170+J171</f>
        <v>652.01</v>
      </c>
    </row>
    <row r="167" spans="1:13">
      <c r="A167" s="3024"/>
      <c r="B167" s="3024"/>
      <c r="C167" s="3024">
        <v>102</v>
      </c>
      <c r="D167" s="3024">
        <v>134.27000000000001</v>
      </c>
      <c r="E167" s="3024">
        <v>84.5</v>
      </c>
      <c r="F167" s="3024"/>
      <c r="G167" s="3024">
        <f t="shared" si="2"/>
        <v>218.77</v>
      </c>
      <c r="H167" s="3024"/>
      <c r="I167" s="3024"/>
      <c r="J167" s="3024">
        <f>J166</f>
        <v>108.67</v>
      </c>
      <c r="K167" s="3024">
        <f t="shared" si="3"/>
        <v>110.10000000000001</v>
      </c>
      <c r="L167" s="3024">
        <f t="shared" si="7"/>
        <v>218.77</v>
      </c>
      <c r="M167" s="3024"/>
    </row>
    <row r="168" spans="1:13">
      <c r="A168" s="3024"/>
      <c r="B168" s="3024"/>
      <c r="C168" s="3024">
        <v>103</v>
      </c>
      <c r="D168" s="3024">
        <v>134.46</v>
      </c>
      <c r="E168" s="3024">
        <v>84.77</v>
      </c>
      <c r="F168" s="3024"/>
      <c r="G168" s="3024">
        <f t="shared" si="2"/>
        <v>219.23000000000002</v>
      </c>
      <c r="H168" s="3024"/>
      <c r="I168" s="3024"/>
      <c r="J168" s="3024">
        <f>J166</f>
        <v>108.67</v>
      </c>
      <c r="K168" s="3024">
        <f t="shared" si="3"/>
        <v>110.56000000000002</v>
      </c>
      <c r="L168" s="3024">
        <f t="shared" si="7"/>
        <v>219.23000000000002</v>
      </c>
      <c r="M168" s="3024"/>
    </row>
    <row r="169" spans="1:13">
      <c r="A169" s="3024"/>
      <c r="B169" s="3024"/>
      <c r="C169" s="3024">
        <v>104</v>
      </c>
      <c r="D169" s="3024">
        <v>134.27000000000001</v>
      </c>
      <c r="E169" s="3024">
        <v>84.36</v>
      </c>
      <c r="F169" s="3024"/>
      <c r="G169" s="3024">
        <f t="shared" si="2"/>
        <v>218.63</v>
      </c>
      <c r="H169" s="3024"/>
      <c r="I169" s="3024"/>
      <c r="J169" s="3024">
        <f>J166</f>
        <v>108.67</v>
      </c>
      <c r="K169" s="3024">
        <f t="shared" si="3"/>
        <v>109.96</v>
      </c>
      <c r="L169" s="3024">
        <f t="shared" si="7"/>
        <v>218.63</v>
      </c>
      <c r="M169" s="3024"/>
    </row>
    <row r="170" spans="1:13">
      <c r="A170" s="3024"/>
      <c r="B170" s="3024"/>
      <c r="C170" s="3024">
        <v>105</v>
      </c>
      <c r="D170" s="3024">
        <v>134.27000000000001</v>
      </c>
      <c r="E170" s="3024">
        <v>84.5</v>
      </c>
      <c r="F170" s="3024"/>
      <c r="G170" s="3024">
        <f t="shared" si="2"/>
        <v>218.77</v>
      </c>
      <c r="H170" s="3024"/>
      <c r="I170" s="3024"/>
      <c r="J170" s="3024">
        <f>J166</f>
        <v>108.67</v>
      </c>
      <c r="K170" s="3024">
        <f t="shared" si="3"/>
        <v>110.10000000000001</v>
      </c>
      <c r="L170" s="3024">
        <f t="shared" si="7"/>
        <v>218.77</v>
      </c>
      <c r="M170" s="3024"/>
    </row>
    <row r="171" spans="1:13">
      <c r="A171" s="3024"/>
      <c r="B171" s="3024"/>
      <c r="C171" s="3024">
        <v>106</v>
      </c>
      <c r="D171" s="3024">
        <v>134.46</v>
      </c>
      <c r="E171" s="3024">
        <v>84.77</v>
      </c>
      <c r="F171" s="3024"/>
      <c r="G171" s="3024">
        <f t="shared" si="2"/>
        <v>219.23000000000002</v>
      </c>
      <c r="H171" s="3024"/>
      <c r="I171" s="3024"/>
      <c r="J171" s="3024">
        <f>J151</f>
        <v>108.66</v>
      </c>
      <c r="K171" s="3024">
        <f t="shared" si="3"/>
        <v>110.57000000000002</v>
      </c>
      <c r="L171" s="3024">
        <f t="shared" si="7"/>
        <v>219.23000000000002</v>
      </c>
      <c r="M171" s="3024"/>
    </row>
    <row r="172" spans="1:13">
      <c r="A172" s="3024" t="s">
        <v>3099</v>
      </c>
      <c r="B172" s="3024">
        <v>4</v>
      </c>
      <c r="C172" s="3024">
        <v>-201</v>
      </c>
      <c r="D172" s="3024"/>
      <c r="E172" s="3024">
        <v>83.59</v>
      </c>
      <c r="F172" s="3024"/>
      <c r="G172" s="3024">
        <f t="shared" si="2"/>
        <v>83.59</v>
      </c>
      <c r="H172" s="3024">
        <f>SUM(G172:G179)</f>
        <v>1213.4000000000001</v>
      </c>
      <c r="I172" s="3024"/>
      <c r="J172" s="3024"/>
      <c r="K172" s="3024">
        <f>G172-J172</f>
        <v>83.59</v>
      </c>
      <c r="L172" s="3024">
        <f t="shared" si="1"/>
        <v>83.59</v>
      </c>
      <c r="M172" s="3024"/>
    </row>
    <row r="173" spans="1:13">
      <c r="A173" s="3024"/>
      <c r="B173" s="3024"/>
      <c r="C173" s="3024">
        <v>-202</v>
      </c>
      <c r="D173" s="3024"/>
      <c r="E173" s="3024">
        <v>84.31</v>
      </c>
      <c r="F173" s="3024"/>
      <c r="G173" s="3024">
        <f t="shared" si="2"/>
        <v>84.31</v>
      </c>
      <c r="H173" s="3024"/>
      <c r="I173" s="3024"/>
      <c r="J173" s="3024"/>
      <c r="K173" s="3024">
        <f t="shared" ref="K173:K179" si="8">G173-J173</f>
        <v>84.31</v>
      </c>
      <c r="L173" s="3024">
        <f t="shared" si="1"/>
        <v>84.31</v>
      </c>
      <c r="M173" s="3024"/>
    </row>
    <row r="174" spans="1:13">
      <c r="A174" s="3024"/>
      <c r="B174" s="3024"/>
      <c r="C174" s="3024">
        <v>-203</v>
      </c>
      <c r="D174" s="3024"/>
      <c r="E174" s="3024">
        <v>83.59</v>
      </c>
      <c r="F174" s="3024"/>
      <c r="G174" s="3024">
        <f t="shared" si="2"/>
        <v>83.59</v>
      </c>
      <c r="H174" s="3024"/>
      <c r="I174" s="3024"/>
      <c r="J174" s="3024"/>
      <c r="K174" s="3024">
        <f t="shared" si="8"/>
        <v>83.59</v>
      </c>
      <c r="L174" s="3024">
        <f t="shared" si="1"/>
        <v>83.59</v>
      </c>
      <c r="M174" s="3024"/>
    </row>
    <row r="175" spans="1:13">
      <c r="A175" s="3024"/>
      <c r="B175" s="3024"/>
      <c r="C175" s="3024">
        <v>-204</v>
      </c>
      <c r="D175" s="3024"/>
      <c r="E175" s="3024">
        <v>84.31</v>
      </c>
      <c r="F175" s="3024"/>
      <c r="G175" s="3024">
        <f t="shared" si="2"/>
        <v>84.31</v>
      </c>
      <c r="H175" s="3024"/>
      <c r="I175" s="3024"/>
      <c r="J175" s="3024"/>
      <c r="K175" s="3024">
        <f t="shared" si="8"/>
        <v>84.31</v>
      </c>
      <c r="L175" s="3024">
        <f t="shared" si="1"/>
        <v>84.31</v>
      </c>
      <c r="M175" s="3024"/>
    </row>
    <row r="176" spans="1:13">
      <c r="A176" s="3024"/>
      <c r="B176" s="3024"/>
      <c r="C176" s="3024">
        <v>101</v>
      </c>
      <c r="D176" s="3024">
        <v>134.56</v>
      </c>
      <c r="E176" s="3024">
        <v>84.54</v>
      </c>
      <c r="F176" s="3024"/>
      <c r="G176" s="3024">
        <f t="shared" si="2"/>
        <v>219.10000000000002</v>
      </c>
      <c r="H176" s="3024"/>
      <c r="I176" s="3024"/>
      <c r="J176" s="3024">
        <f>J156</f>
        <v>108.89</v>
      </c>
      <c r="K176" s="3024">
        <f t="shared" si="8"/>
        <v>110.21000000000002</v>
      </c>
      <c r="L176" s="3024">
        <f t="shared" si="1"/>
        <v>219.10000000000002</v>
      </c>
      <c r="M176" s="3024">
        <f>J176+J177+J178+J179</f>
        <v>435.56</v>
      </c>
    </row>
    <row r="177" spans="1:13">
      <c r="A177" s="3024"/>
      <c r="B177" s="3024"/>
      <c r="C177" s="3024">
        <v>102</v>
      </c>
      <c r="D177" s="3024">
        <v>134.75</v>
      </c>
      <c r="E177" s="3024">
        <v>84.95</v>
      </c>
      <c r="F177" s="3024"/>
      <c r="G177" s="3024">
        <f t="shared" si="2"/>
        <v>219.7</v>
      </c>
      <c r="H177" s="3024"/>
      <c r="I177" s="3024"/>
      <c r="J177" s="3024">
        <f>J176</f>
        <v>108.89</v>
      </c>
      <c r="K177" s="3024">
        <f t="shared" si="8"/>
        <v>110.80999999999999</v>
      </c>
      <c r="L177" s="3024">
        <f t="shared" si="1"/>
        <v>219.7</v>
      </c>
      <c r="M177" s="3024"/>
    </row>
    <row r="178" spans="1:13">
      <c r="A178" s="3024"/>
      <c r="B178" s="3024"/>
      <c r="C178" s="3024">
        <v>103</v>
      </c>
      <c r="D178" s="3024">
        <v>134.56</v>
      </c>
      <c r="E178" s="3024">
        <v>84.54</v>
      </c>
      <c r="F178" s="3024"/>
      <c r="G178" s="3024">
        <f t="shared" si="2"/>
        <v>219.10000000000002</v>
      </c>
      <c r="H178" s="3024"/>
      <c r="I178" s="3024"/>
      <c r="J178" s="3024">
        <f>J177</f>
        <v>108.89</v>
      </c>
      <c r="K178" s="3024">
        <f t="shared" si="8"/>
        <v>110.21000000000002</v>
      </c>
      <c r="L178" s="3024">
        <f t="shared" si="1"/>
        <v>219.10000000000002</v>
      </c>
      <c r="M178" s="3024"/>
    </row>
    <row r="179" spans="1:13">
      <c r="A179" s="3024"/>
      <c r="B179" s="3024"/>
      <c r="C179" s="3024">
        <v>104</v>
      </c>
      <c r="D179" s="3024">
        <v>134.75</v>
      </c>
      <c r="E179" s="3024">
        <v>84.95</v>
      </c>
      <c r="F179" s="3024"/>
      <c r="G179" s="3024">
        <f t="shared" si="2"/>
        <v>219.7</v>
      </c>
      <c r="H179" s="3024"/>
      <c r="I179" s="3024"/>
      <c r="J179" s="3024">
        <f>J176</f>
        <v>108.89</v>
      </c>
      <c r="K179" s="3024">
        <f t="shared" si="8"/>
        <v>110.80999999999999</v>
      </c>
      <c r="L179" s="3024">
        <f t="shared" si="1"/>
        <v>219.7</v>
      </c>
      <c r="M179" s="3024"/>
    </row>
    <row r="180" spans="1:13">
      <c r="A180" s="3024" t="s">
        <v>3065</v>
      </c>
      <c r="B180" s="3024">
        <v>4</v>
      </c>
      <c r="C180" s="3024">
        <v>-201</v>
      </c>
      <c r="D180" s="3024"/>
      <c r="E180" s="3024">
        <v>83.6</v>
      </c>
      <c r="F180" s="3024"/>
      <c r="G180" s="3024">
        <f t="shared" si="2"/>
        <v>83.6</v>
      </c>
      <c r="H180" s="3024">
        <f>SUM(G180:G187)</f>
        <v>1213.9399999999998</v>
      </c>
      <c r="I180" s="3024"/>
      <c r="J180" s="3024"/>
      <c r="K180" s="3024">
        <f t="shared" si="3"/>
        <v>83.6</v>
      </c>
      <c r="L180" s="3024">
        <f t="shared" si="1"/>
        <v>83.6</v>
      </c>
      <c r="M180" s="3024"/>
    </row>
    <row r="181" spans="1:13">
      <c r="A181" s="3024"/>
      <c r="B181" s="3024"/>
      <c r="C181" s="3024">
        <v>-202</v>
      </c>
      <c r="D181" s="3024"/>
      <c r="E181" s="3024">
        <v>84.32</v>
      </c>
      <c r="F181" s="3024"/>
      <c r="G181" s="3024">
        <f t="shared" si="2"/>
        <v>84.32</v>
      </c>
      <c r="H181" s="3024"/>
      <c r="I181" s="3024"/>
      <c r="J181" s="3024"/>
      <c r="K181" s="3024">
        <f t="shared" si="3"/>
        <v>84.32</v>
      </c>
      <c r="L181" s="3024">
        <f t="shared" si="1"/>
        <v>84.32</v>
      </c>
      <c r="M181" s="3024"/>
    </row>
    <row r="182" spans="1:13">
      <c r="A182" s="3024"/>
      <c r="B182" s="3024"/>
      <c r="C182" s="3024">
        <v>-203</v>
      </c>
      <c r="D182" s="3024"/>
      <c r="E182" s="3024">
        <v>83.6</v>
      </c>
      <c r="F182" s="3024"/>
      <c r="G182" s="3024">
        <f t="shared" si="2"/>
        <v>83.6</v>
      </c>
      <c r="H182" s="3024"/>
      <c r="I182" s="3024"/>
      <c r="J182" s="3024"/>
      <c r="K182" s="3024">
        <f t="shared" si="3"/>
        <v>83.6</v>
      </c>
      <c r="L182" s="3024">
        <f t="shared" si="1"/>
        <v>83.6</v>
      </c>
      <c r="M182" s="3024"/>
    </row>
    <row r="183" spans="1:13">
      <c r="A183" s="3024"/>
      <c r="B183" s="3024"/>
      <c r="C183" s="3024">
        <v>-204</v>
      </c>
      <c r="D183" s="3024"/>
      <c r="E183" s="3024">
        <v>84.32</v>
      </c>
      <c r="F183" s="3024"/>
      <c r="G183" s="3024">
        <f t="shared" si="2"/>
        <v>84.32</v>
      </c>
      <c r="H183" s="3024"/>
      <c r="I183" s="3024"/>
      <c r="J183" s="3024"/>
      <c r="K183" s="3024">
        <f t="shared" si="3"/>
        <v>84.32</v>
      </c>
      <c r="L183" s="3024">
        <f t="shared" si="1"/>
        <v>84.32</v>
      </c>
      <c r="M183" s="3024"/>
    </row>
    <row r="184" spans="1:13">
      <c r="A184" s="3024"/>
      <c r="B184" s="3024"/>
      <c r="C184" s="3024">
        <v>101</v>
      </c>
      <c r="D184" s="3024">
        <v>134.63999999999999</v>
      </c>
      <c r="E184" s="3024">
        <v>84.58</v>
      </c>
      <c r="F184" s="3024"/>
      <c r="G184" s="3024">
        <f t="shared" si="2"/>
        <v>219.21999999999997</v>
      </c>
      <c r="H184" s="3024"/>
      <c r="I184" s="3024"/>
      <c r="J184" s="3024">
        <f>J176</f>
        <v>108.89</v>
      </c>
      <c r="K184" s="3024">
        <f t="shared" si="3"/>
        <v>110.32999999999997</v>
      </c>
      <c r="L184" s="3024">
        <f t="shared" si="1"/>
        <v>219.21999999999997</v>
      </c>
      <c r="M184" s="3024">
        <f>J184+J185+J186+J187</f>
        <v>435.56</v>
      </c>
    </row>
    <row r="185" spans="1:13">
      <c r="A185" s="3024"/>
      <c r="B185" s="3024"/>
      <c r="C185" s="3024">
        <v>102</v>
      </c>
      <c r="D185" s="3024">
        <v>134.83000000000001</v>
      </c>
      <c r="E185" s="3024">
        <v>85</v>
      </c>
      <c r="F185" s="3024"/>
      <c r="G185" s="3024">
        <f t="shared" si="2"/>
        <v>219.83</v>
      </c>
      <c r="H185" s="3024"/>
      <c r="I185" s="3024"/>
      <c r="J185" s="3024">
        <f>J184</f>
        <v>108.89</v>
      </c>
      <c r="K185" s="3024">
        <f t="shared" si="3"/>
        <v>110.94000000000001</v>
      </c>
      <c r="L185" s="3024">
        <f t="shared" si="1"/>
        <v>219.83</v>
      </c>
      <c r="M185" s="3024"/>
    </row>
    <row r="186" spans="1:13">
      <c r="A186" s="3024"/>
      <c r="B186" s="3024"/>
      <c r="C186" s="3024">
        <v>103</v>
      </c>
      <c r="D186" s="3024">
        <v>134.63999999999999</v>
      </c>
      <c r="E186" s="3024">
        <v>84.58</v>
      </c>
      <c r="F186" s="3024"/>
      <c r="G186" s="3024">
        <f t="shared" si="2"/>
        <v>219.21999999999997</v>
      </c>
      <c r="H186" s="3024"/>
      <c r="I186" s="3024"/>
      <c r="J186" s="3024">
        <f>J184</f>
        <v>108.89</v>
      </c>
      <c r="K186" s="3024">
        <f t="shared" si="3"/>
        <v>110.32999999999997</v>
      </c>
      <c r="L186" s="3024">
        <f t="shared" si="1"/>
        <v>219.21999999999997</v>
      </c>
      <c r="M186" s="3024"/>
    </row>
    <row r="187" spans="1:13">
      <c r="A187" s="3024"/>
      <c r="B187" s="3024"/>
      <c r="C187" s="3024">
        <v>104</v>
      </c>
      <c r="D187" s="3024">
        <v>134.83000000000001</v>
      </c>
      <c r="E187" s="3024">
        <v>85</v>
      </c>
      <c r="F187" s="3024"/>
      <c r="G187" s="3024">
        <f t="shared" si="2"/>
        <v>219.83</v>
      </c>
      <c r="H187" s="3024"/>
      <c r="I187" s="3024"/>
      <c r="J187" s="3024">
        <f>J184</f>
        <v>108.89</v>
      </c>
      <c r="K187" s="3024">
        <f t="shared" si="3"/>
        <v>110.94000000000001</v>
      </c>
      <c r="L187" s="3024">
        <f t="shared" si="1"/>
        <v>219.83</v>
      </c>
      <c r="M187" s="3024"/>
    </row>
    <row r="188" spans="1:13">
      <c r="A188" s="3024" t="s">
        <v>3100</v>
      </c>
      <c r="B188" s="3024">
        <v>6</v>
      </c>
      <c r="C188" s="3024">
        <v>-201</v>
      </c>
      <c r="D188" s="3024"/>
      <c r="E188" s="3024">
        <v>83.63</v>
      </c>
      <c r="F188" s="3024"/>
      <c r="G188" s="3024">
        <f t="shared" si="2"/>
        <v>83.63</v>
      </c>
      <c r="H188" s="3024">
        <f>SUM(G188:G199)</f>
        <v>1817.9800000000002</v>
      </c>
      <c r="I188" s="3024"/>
      <c r="J188" s="3024"/>
      <c r="K188" s="3024">
        <f t="shared" si="3"/>
        <v>83.63</v>
      </c>
      <c r="L188" s="3024">
        <f t="shared" si="1"/>
        <v>83.63</v>
      </c>
      <c r="M188" s="3024"/>
    </row>
    <row r="189" spans="1:13">
      <c r="A189" s="3024"/>
      <c r="B189" s="3024"/>
      <c r="C189" s="3024">
        <v>-202</v>
      </c>
      <c r="D189" s="3024"/>
      <c r="E189" s="3024">
        <v>84.36</v>
      </c>
      <c r="F189" s="3024"/>
      <c r="G189" s="3024">
        <f t="shared" si="2"/>
        <v>84.36</v>
      </c>
      <c r="H189" s="3024"/>
      <c r="I189" s="3024"/>
      <c r="J189" s="3024"/>
      <c r="K189" s="3024">
        <f t="shared" si="3"/>
        <v>84.36</v>
      </c>
      <c r="L189" s="3024">
        <f t="shared" si="1"/>
        <v>84.36</v>
      </c>
      <c r="M189" s="3024"/>
    </row>
    <row r="190" spans="1:13">
      <c r="A190" s="3024"/>
      <c r="B190" s="3024"/>
      <c r="C190" s="3024">
        <v>-203</v>
      </c>
      <c r="D190" s="3024"/>
      <c r="E190" s="3024">
        <v>84.36</v>
      </c>
      <c r="F190" s="3024"/>
      <c r="G190" s="3024">
        <f t="shared" si="2"/>
        <v>84.36</v>
      </c>
      <c r="H190" s="3024"/>
      <c r="I190" s="3024"/>
      <c r="J190" s="3024"/>
      <c r="K190" s="3024">
        <f t="shared" si="3"/>
        <v>84.36</v>
      </c>
      <c r="L190" s="3024">
        <f t="shared" si="1"/>
        <v>84.36</v>
      </c>
      <c r="M190" s="3024"/>
    </row>
    <row r="191" spans="1:13">
      <c r="A191" s="3024"/>
      <c r="B191" s="3024"/>
      <c r="C191" s="3024">
        <v>-204</v>
      </c>
      <c r="D191" s="3024"/>
      <c r="E191" s="3024">
        <v>83.63</v>
      </c>
      <c r="F191" s="3024"/>
      <c r="G191" s="3024">
        <f t="shared" si="2"/>
        <v>83.63</v>
      </c>
      <c r="H191" s="3024"/>
      <c r="I191" s="3024"/>
      <c r="J191" s="3024"/>
      <c r="K191" s="3024">
        <f t="shared" si="3"/>
        <v>83.63</v>
      </c>
      <c r="L191" s="3024">
        <f t="shared" si="1"/>
        <v>83.63</v>
      </c>
      <c r="M191" s="3024"/>
    </row>
    <row r="192" spans="1:13">
      <c r="A192" s="3024"/>
      <c r="B192" s="3024"/>
      <c r="C192" s="3024">
        <v>-205</v>
      </c>
      <c r="D192" s="3024"/>
      <c r="E192" s="3024">
        <v>84.36</v>
      </c>
      <c r="F192" s="3024"/>
      <c r="G192" s="3024">
        <f t="shared" si="2"/>
        <v>84.36</v>
      </c>
      <c r="H192" s="3024"/>
      <c r="I192" s="3024"/>
      <c r="J192" s="3024"/>
      <c r="K192" s="3024">
        <f t="shared" si="3"/>
        <v>84.36</v>
      </c>
      <c r="L192" s="3024">
        <f t="shared" si="1"/>
        <v>84.36</v>
      </c>
      <c r="M192" s="3024"/>
    </row>
    <row r="193" spans="1:13">
      <c r="A193" s="3024"/>
      <c r="B193" s="3024"/>
      <c r="C193" s="3024">
        <v>-206</v>
      </c>
      <c r="D193" s="3024"/>
      <c r="E193" s="3024">
        <v>84.36</v>
      </c>
      <c r="F193" s="3024"/>
      <c r="G193" s="3024">
        <f t="shared" si="2"/>
        <v>84.36</v>
      </c>
      <c r="H193" s="3024"/>
      <c r="I193" s="3024"/>
      <c r="J193" s="3024"/>
      <c r="K193" s="3024">
        <f t="shared" si="3"/>
        <v>84.36</v>
      </c>
      <c r="L193" s="3024">
        <f t="shared" si="1"/>
        <v>84.36</v>
      </c>
      <c r="M193" s="3024"/>
    </row>
    <row r="194" spans="1:13">
      <c r="A194" s="3024"/>
      <c r="B194" s="3024"/>
      <c r="C194" s="3024">
        <v>101</v>
      </c>
      <c r="D194" s="3024">
        <v>134.27000000000001</v>
      </c>
      <c r="E194" s="3024">
        <v>84.36</v>
      </c>
      <c r="F194" s="3024"/>
      <c r="G194" s="3024">
        <f t="shared" si="2"/>
        <v>218.63</v>
      </c>
      <c r="H194" s="3024"/>
      <c r="I194" s="3024"/>
      <c r="J194" s="3024">
        <f>J166</f>
        <v>108.67</v>
      </c>
      <c r="K194" s="3024">
        <f t="shared" si="3"/>
        <v>109.96</v>
      </c>
      <c r="L194" s="3024">
        <f t="shared" si="1"/>
        <v>218.63</v>
      </c>
      <c r="M194" s="3024">
        <f>J194+J195+J196+J197+J198+J199</f>
        <v>652.01</v>
      </c>
    </row>
    <row r="195" spans="1:13">
      <c r="A195" s="3024"/>
      <c r="B195" s="3024"/>
      <c r="C195" s="3024">
        <v>102</v>
      </c>
      <c r="D195" s="3024">
        <v>134.27000000000001</v>
      </c>
      <c r="E195" s="3024">
        <v>84.5</v>
      </c>
      <c r="F195" s="3024"/>
      <c r="G195" s="3024">
        <f t="shared" si="2"/>
        <v>218.77</v>
      </c>
      <c r="H195" s="3024"/>
      <c r="I195" s="3024"/>
      <c r="J195" s="3024">
        <f>J194</f>
        <v>108.67</v>
      </c>
      <c r="K195" s="3024">
        <f t="shared" si="3"/>
        <v>110.10000000000001</v>
      </c>
      <c r="L195" s="3024">
        <f t="shared" si="1"/>
        <v>218.77</v>
      </c>
      <c r="M195" s="3024"/>
    </row>
    <row r="196" spans="1:13">
      <c r="A196" s="3024"/>
      <c r="B196" s="3024"/>
      <c r="C196" s="3024">
        <v>103</v>
      </c>
      <c r="D196" s="3024">
        <v>134.47</v>
      </c>
      <c r="E196" s="3024">
        <v>84.77</v>
      </c>
      <c r="F196" s="3024"/>
      <c r="G196" s="3024">
        <f t="shared" si="2"/>
        <v>219.24</v>
      </c>
      <c r="H196" s="3024"/>
      <c r="I196" s="3024"/>
      <c r="J196" s="3024">
        <f>J194</f>
        <v>108.67</v>
      </c>
      <c r="K196" s="3024">
        <f t="shared" si="3"/>
        <v>110.57000000000001</v>
      </c>
      <c r="L196" s="3024">
        <f t="shared" si="1"/>
        <v>219.24</v>
      </c>
      <c r="M196" s="3024"/>
    </row>
    <row r="197" spans="1:13">
      <c r="A197" s="3024"/>
      <c r="B197" s="3024"/>
      <c r="C197" s="3024">
        <v>104</v>
      </c>
      <c r="D197" s="3024">
        <v>134.27000000000001</v>
      </c>
      <c r="E197" s="3024">
        <v>84.36</v>
      </c>
      <c r="F197" s="3024"/>
      <c r="G197" s="3024">
        <f t="shared" si="2"/>
        <v>218.63</v>
      </c>
      <c r="H197" s="3024"/>
      <c r="I197" s="3024"/>
      <c r="J197" s="3024">
        <f>J194</f>
        <v>108.67</v>
      </c>
      <c r="K197" s="3024">
        <f t="shared" si="3"/>
        <v>109.96</v>
      </c>
      <c r="L197" s="3024">
        <f t="shared" si="1"/>
        <v>218.63</v>
      </c>
      <c r="M197" s="3024"/>
    </row>
    <row r="198" spans="1:13">
      <c r="A198" s="3024"/>
      <c r="B198" s="3024"/>
      <c r="C198" s="3024">
        <v>105</v>
      </c>
      <c r="D198" s="3024">
        <v>134.27000000000001</v>
      </c>
      <c r="E198" s="3024">
        <v>84.5</v>
      </c>
      <c r="F198" s="3024"/>
      <c r="G198" s="3024">
        <f t="shared" si="2"/>
        <v>218.77</v>
      </c>
      <c r="H198" s="3024"/>
      <c r="I198" s="3024"/>
      <c r="J198" s="3024">
        <f>J194</f>
        <v>108.67</v>
      </c>
      <c r="K198" s="3024">
        <f t="shared" si="3"/>
        <v>110.10000000000001</v>
      </c>
      <c r="L198" s="3024">
        <f t="shared" si="1"/>
        <v>218.77</v>
      </c>
      <c r="M198" s="3024"/>
    </row>
    <row r="199" spans="1:13">
      <c r="A199" s="3024"/>
      <c r="B199" s="3024"/>
      <c r="C199" s="3024">
        <v>106</v>
      </c>
      <c r="D199" s="3024">
        <v>134.47</v>
      </c>
      <c r="E199" s="3024">
        <v>84.77</v>
      </c>
      <c r="F199" s="3024"/>
      <c r="G199" s="3024">
        <f t="shared" si="2"/>
        <v>219.24</v>
      </c>
      <c r="H199" s="3024"/>
      <c r="I199" s="3024"/>
      <c r="J199" s="3024">
        <f>J171</f>
        <v>108.66</v>
      </c>
      <c r="K199" s="3024">
        <f t="shared" si="3"/>
        <v>110.58000000000001</v>
      </c>
      <c r="L199" s="3024">
        <f t="shared" si="1"/>
        <v>219.24</v>
      </c>
      <c r="M199" s="3024"/>
    </row>
    <row r="200" spans="1:13">
      <c r="A200" s="3024" t="s">
        <v>3101</v>
      </c>
      <c r="B200" s="3024">
        <v>6</v>
      </c>
      <c r="C200" s="3024">
        <v>-201</v>
      </c>
      <c r="D200" s="3024"/>
      <c r="E200" s="3024">
        <v>83.64</v>
      </c>
      <c r="F200" s="3024"/>
      <c r="G200" s="3024">
        <f t="shared" si="2"/>
        <v>83.64</v>
      </c>
      <c r="H200" s="3024">
        <f>SUM(G200:G211)</f>
        <v>1818.18</v>
      </c>
      <c r="I200" s="3024"/>
      <c r="J200" s="3024"/>
      <c r="K200" s="3024">
        <f t="shared" si="3"/>
        <v>83.64</v>
      </c>
      <c r="L200" s="3024">
        <f t="shared" si="1"/>
        <v>83.64</v>
      </c>
      <c r="M200" s="3024"/>
    </row>
    <row r="201" spans="1:13">
      <c r="A201" s="3024"/>
      <c r="B201" s="3024"/>
      <c r="C201" s="3024">
        <v>-202</v>
      </c>
      <c r="D201" s="3024"/>
      <c r="E201" s="3024">
        <v>84.36</v>
      </c>
      <c r="F201" s="3024"/>
      <c r="G201" s="3024">
        <f t="shared" si="2"/>
        <v>84.36</v>
      </c>
      <c r="H201" s="3024"/>
      <c r="I201" s="3024"/>
      <c r="J201" s="3024"/>
      <c r="K201" s="3024">
        <f t="shared" si="3"/>
        <v>84.36</v>
      </c>
      <c r="L201" s="3024">
        <f t="shared" si="1"/>
        <v>84.36</v>
      </c>
      <c r="M201" s="3024"/>
    </row>
    <row r="202" spans="1:13">
      <c r="A202" s="3024"/>
      <c r="B202" s="3024"/>
      <c r="C202" s="3024">
        <v>-203</v>
      </c>
      <c r="D202" s="3024"/>
      <c r="E202" s="3024">
        <v>84.36</v>
      </c>
      <c r="F202" s="3024"/>
      <c r="G202" s="3024">
        <f t="shared" si="2"/>
        <v>84.36</v>
      </c>
      <c r="H202" s="3024"/>
      <c r="I202" s="3024"/>
      <c r="J202" s="3024"/>
      <c r="K202" s="3024">
        <f t="shared" si="3"/>
        <v>84.36</v>
      </c>
      <c r="L202" s="3024">
        <f t="shared" si="1"/>
        <v>84.36</v>
      </c>
      <c r="M202" s="3024"/>
    </row>
    <row r="203" spans="1:13">
      <c r="A203" s="3024"/>
      <c r="B203" s="3024"/>
      <c r="C203" s="3024">
        <v>-204</v>
      </c>
      <c r="D203" s="3024"/>
      <c r="E203" s="3024">
        <v>83.64</v>
      </c>
      <c r="F203" s="3024"/>
      <c r="G203" s="3024">
        <f t="shared" si="2"/>
        <v>83.64</v>
      </c>
      <c r="H203" s="3024"/>
      <c r="I203" s="3024"/>
      <c r="J203" s="3024"/>
      <c r="K203" s="3024">
        <f t="shared" si="3"/>
        <v>83.64</v>
      </c>
      <c r="L203" s="3024">
        <f t="shared" si="1"/>
        <v>83.64</v>
      </c>
      <c r="M203" s="3024"/>
    </row>
    <row r="204" spans="1:13">
      <c r="A204" s="3024"/>
      <c r="B204" s="3024"/>
      <c r="C204" s="3024">
        <v>-205</v>
      </c>
      <c r="D204" s="3024"/>
      <c r="E204" s="3024">
        <v>84.36</v>
      </c>
      <c r="F204" s="3024"/>
      <c r="G204" s="3024">
        <f t="shared" si="2"/>
        <v>84.36</v>
      </c>
      <c r="H204" s="3024"/>
      <c r="I204" s="3024"/>
      <c r="J204" s="3024"/>
      <c r="K204" s="3024">
        <f t="shared" si="3"/>
        <v>84.36</v>
      </c>
      <c r="L204" s="3024">
        <f t="shared" si="1"/>
        <v>84.36</v>
      </c>
      <c r="M204" s="3024"/>
    </row>
    <row r="205" spans="1:13">
      <c r="A205" s="3024"/>
      <c r="B205" s="3024"/>
      <c r="C205" s="3024">
        <v>-206</v>
      </c>
      <c r="D205" s="3024"/>
      <c r="E205" s="3024">
        <v>84.36</v>
      </c>
      <c r="F205" s="3024"/>
      <c r="G205" s="3024">
        <f t="shared" si="2"/>
        <v>84.36</v>
      </c>
      <c r="H205" s="3024"/>
      <c r="I205" s="3024"/>
      <c r="J205" s="3024"/>
      <c r="K205" s="3024">
        <f t="shared" si="3"/>
        <v>84.36</v>
      </c>
      <c r="L205" s="3024">
        <f t="shared" si="1"/>
        <v>84.36</v>
      </c>
      <c r="M205" s="3024"/>
    </row>
    <row r="206" spans="1:13">
      <c r="A206" s="3024"/>
      <c r="B206" s="3024"/>
      <c r="C206" s="3024">
        <v>101</v>
      </c>
      <c r="D206" s="3024">
        <v>134.29</v>
      </c>
      <c r="E206" s="3024">
        <v>84.37</v>
      </c>
      <c r="F206" s="3024"/>
      <c r="G206" s="3024">
        <f t="shared" si="2"/>
        <v>218.66</v>
      </c>
      <c r="H206" s="3024"/>
      <c r="I206" s="3024"/>
      <c r="J206" s="3024">
        <f>J194</f>
        <v>108.67</v>
      </c>
      <c r="K206" s="3024">
        <f t="shared" si="3"/>
        <v>109.99</v>
      </c>
      <c r="L206" s="3024">
        <f t="shared" si="1"/>
        <v>218.66</v>
      </c>
      <c r="M206" s="3024">
        <f>J206+J207+J208+J209+J210+J211</f>
        <v>652.01</v>
      </c>
    </row>
    <row r="207" spans="1:13">
      <c r="A207" s="3024"/>
      <c r="B207" s="3024"/>
      <c r="C207" s="3024">
        <v>102</v>
      </c>
      <c r="D207" s="3024">
        <v>134.29</v>
      </c>
      <c r="E207" s="3024">
        <v>84.51</v>
      </c>
      <c r="F207" s="3024"/>
      <c r="G207" s="3024">
        <f t="shared" si="2"/>
        <v>218.8</v>
      </c>
      <c r="H207" s="3024"/>
      <c r="I207" s="3024"/>
      <c r="J207" s="3024">
        <f>J206</f>
        <v>108.67</v>
      </c>
      <c r="K207" s="3024">
        <f t="shared" si="3"/>
        <v>110.13000000000001</v>
      </c>
      <c r="L207" s="3024">
        <f t="shared" si="1"/>
        <v>218.8</v>
      </c>
      <c r="M207" s="3024"/>
    </row>
    <row r="208" spans="1:13">
      <c r="A208" s="3024"/>
      <c r="B208" s="3024"/>
      <c r="C208" s="3024">
        <v>103</v>
      </c>
      <c r="D208" s="3024">
        <v>134.49</v>
      </c>
      <c r="E208" s="3024">
        <v>84.78</v>
      </c>
      <c r="F208" s="3024"/>
      <c r="G208" s="3024">
        <f t="shared" si="2"/>
        <v>219.27</v>
      </c>
      <c r="H208" s="3024"/>
      <c r="I208" s="3024"/>
      <c r="J208" s="3024">
        <f>J206</f>
        <v>108.67</v>
      </c>
      <c r="K208" s="3024">
        <f t="shared" si="3"/>
        <v>110.60000000000001</v>
      </c>
      <c r="L208" s="3024">
        <f t="shared" si="1"/>
        <v>219.27</v>
      </c>
      <c r="M208" s="3024"/>
    </row>
    <row r="209" spans="1:13">
      <c r="A209" s="3024"/>
      <c r="B209" s="3024"/>
      <c r="C209" s="3024">
        <v>104</v>
      </c>
      <c r="D209" s="3024">
        <v>134.29</v>
      </c>
      <c r="E209" s="3024">
        <v>84.37</v>
      </c>
      <c r="F209" s="3024"/>
      <c r="G209" s="3024">
        <f t="shared" si="2"/>
        <v>218.66</v>
      </c>
      <c r="H209" s="3024"/>
      <c r="I209" s="3024"/>
      <c r="J209" s="3024">
        <f>J206</f>
        <v>108.67</v>
      </c>
      <c r="K209" s="3024">
        <f t="shared" si="3"/>
        <v>109.99</v>
      </c>
      <c r="L209" s="3024">
        <f t="shared" si="1"/>
        <v>218.66</v>
      </c>
      <c r="M209" s="3024"/>
    </row>
    <row r="210" spans="1:13">
      <c r="A210" s="3024"/>
      <c r="B210" s="3024"/>
      <c r="C210" s="3024">
        <v>105</v>
      </c>
      <c r="D210" s="3024">
        <v>134.29</v>
      </c>
      <c r="E210" s="3024">
        <v>84.51</v>
      </c>
      <c r="F210" s="3024"/>
      <c r="G210" s="3024">
        <f t="shared" si="2"/>
        <v>218.8</v>
      </c>
      <c r="H210" s="3024"/>
      <c r="I210" s="3024"/>
      <c r="J210" s="3024">
        <f>J206</f>
        <v>108.67</v>
      </c>
      <c r="K210" s="3024">
        <f t="shared" si="3"/>
        <v>110.13000000000001</v>
      </c>
      <c r="L210" s="3024">
        <f t="shared" si="1"/>
        <v>218.8</v>
      </c>
      <c r="M210" s="3024"/>
    </row>
    <row r="211" spans="1:13">
      <c r="A211" s="3024"/>
      <c r="B211" s="3024"/>
      <c r="C211" s="3024">
        <v>106</v>
      </c>
      <c r="D211" s="3024">
        <v>134.49</v>
      </c>
      <c r="E211" s="3024">
        <v>84.78</v>
      </c>
      <c r="F211" s="3024"/>
      <c r="G211" s="3024">
        <f t="shared" si="2"/>
        <v>219.27</v>
      </c>
      <c r="H211" s="3024"/>
      <c r="I211" s="3024"/>
      <c r="J211" s="3024">
        <f>J199</f>
        <v>108.66</v>
      </c>
      <c r="K211" s="3024">
        <f t="shared" si="3"/>
        <v>110.61000000000001</v>
      </c>
      <c r="L211" s="3024">
        <f t="shared" si="1"/>
        <v>219.27</v>
      </c>
      <c r="M211" s="3024"/>
    </row>
    <row r="212" spans="1:13">
      <c r="A212" s="3024" t="s">
        <v>3066</v>
      </c>
      <c r="B212" s="3024">
        <v>4</v>
      </c>
      <c r="C212" s="3024">
        <v>-201</v>
      </c>
      <c r="D212" s="3024"/>
      <c r="E212" s="3024">
        <v>83.6</v>
      </c>
      <c r="F212" s="3024"/>
      <c r="G212" s="3024">
        <f t="shared" si="2"/>
        <v>83.6</v>
      </c>
      <c r="H212" s="3024">
        <f>SUM(G212:G219)</f>
        <v>1213.9399999999998</v>
      </c>
      <c r="I212" s="3024"/>
      <c r="J212" s="3024"/>
      <c r="K212" s="3024">
        <f t="shared" si="3"/>
        <v>83.6</v>
      </c>
      <c r="L212" s="3024">
        <f t="shared" si="1"/>
        <v>83.6</v>
      </c>
      <c r="M212" s="3024"/>
    </row>
    <row r="213" spans="1:13">
      <c r="A213" s="3024"/>
      <c r="B213" s="3024"/>
      <c r="C213" s="3024">
        <v>-202</v>
      </c>
      <c r="D213" s="3024"/>
      <c r="E213" s="3024">
        <v>84.32</v>
      </c>
      <c r="F213" s="3024"/>
      <c r="G213" s="3024">
        <f t="shared" si="2"/>
        <v>84.32</v>
      </c>
      <c r="H213" s="3024"/>
      <c r="I213" s="3024"/>
      <c r="J213" s="3024"/>
      <c r="K213" s="3024">
        <f t="shared" si="3"/>
        <v>84.32</v>
      </c>
      <c r="L213" s="3024">
        <f t="shared" si="1"/>
        <v>84.32</v>
      </c>
      <c r="M213" s="3024"/>
    </row>
    <row r="214" spans="1:13">
      <c r="A214" s="3024"/>
      <c r="B214" s="3024"/>
      <c r="C214" s="3024">
        <v>-203</v>
      </c>
      <c r="D214" s="3024"/>
      <c r="E214" s="3024">
        <v>83.6</v>
      </c>
      <c r="F214" s="3024"/>
      <c r="G214" s="3024">
        <f t="shared" si="2"/>
        <v>83.6</v>
      </c>
      <c r="H214" s="3024"/>
      <c r="I214" s="3024"/>
      <c r="J214" s="3024"/>
      <c r="K214" s="3024">
        <f t="shared" si="3"/>
        <v>83.6</v>
      </c>
      <c r="L214" s="3024">
        <f t="shared" si="1"/>
        <v>83.6</v>
      </c>
      <c r="M214" s="3024"/>
    </row>
    <row r="215" spans="1:13">
      <c r="A215" s="3024"/>
      <c r="B215" s="3024"/>
      <c r="C215" s="3024">
        <v>-204</v>
      </c>
      <c r="D215" s="3024"/>
      <c r="E215" s="3024">
        <v>84.32</v>
      </c>
      <c r="F215" s="3024"/>
      <c r="G215" s="3024">
        <f t="shared" si="2"/>
        <v>84.32</v>
      </c>
      <c r="H215" s="3024"/>
      <c r="I215" s="3024"/>
      <c r="J215" s="3024"/>
      <c r="K215" s="3024">
        <f t="shared" si="3"/>
        <v>84.32</v>
      </c>
      <c r="L215" s="3024">
        <f t="shared" si="1"/>
        <v>84.32</v>
      </c>
      <c r="M215" s="3024"/>
    </row>
    <row r="216" spans="1:13">
      <c r="A216" s="3024"/>
      <c r="B216" s="3024"/>
      <c r="C216" s="3024">
        <v>101</v>
      </c>
      <c r="D216" s="3024">
        <v>134.63999999999999</v>
      </c>
      <c r="E216" s="3024">
        <v>84.58</v>
      </c>
      <c r="F216" s="3024"/>
      <c r="G216" s="3024">
        <f t="shared" si="2"/>
        <v>219.21999999999997</v>
      </c>
      <c r="H216" s="3024"/>
      <c r="I216" s="3024"/>
      <c r="J216" s="3024">
        <f>J184</f>
        <v>108.89</v>
      </c>
      <c r="K216" s="3024">
        <f t="shared" si="3"/>
        <v>110.32999999999997</v>
      </c>
      <c r="L216" s="3024">
        <f t="shared" si="1"/>
        <v>219.21999999999997</v>
      </c>
      <c r="M216" s="3024">
        <f>J216+J217+J218+J219</f>
        <v>435.56</v>
      </c>
    </row>
    <row r="217" spans="1:13">
      <c r="A217" s="3024"/>
      <c r="B217" s="3024"/>
      <c r="C217" s="3024">
        <v>102</v>
      </c>
      <c r="D217" s="3024">
        <v>134.83000000000001</v>
      </c>
      <c r="E217" s="3024">
        <v>85</v>
      </c>
      <c r="F217" s="3024"/>
      <c r="G217" s="3024">
        <f t="shared" si="2"/>
        <v>219.83</v>
      </c>
      <c r="H217" s="3024"/>
      <c r="I217" s="3024"/>
      <c r="J217" s="3024">
        <f>J216</f>
        <v>108.89</v>
      </c>
      <c r="K217" s="3024">
        <f t="shared" si="3"/>
        <v>110.94000000000001</v>
      </c>
      <c r="L217" s="3024">
        <f t="shared" si="1"/>
        <v>219.83</v>
      </c>
      <c r="M217" s="3024"/>
    </row>
    <row r="218" spans="1:13">
      <c r="A218" s="3024"/>
      <c r="B218" s="3024"/>
      <c r="C218" s="3024">
        <v>103</v>
      </c>
      <c r="D218" s="3024">
        <v>134.63999999999999</v>
      </c>
      <c r="E218" s="3024">
        <v>84.58</v>
      </c>
      <c r="F218" s="3024"/>
      <c r="G218" s="3024">
        <f t="shared" si="2"/>
        <v>219.21999999999997</v>
      </c>
      <c r="H218" s="3024"/>
      <c r="I218" s="3024"/>
      <c r="J218" s="3024">
        <f>J216</f>
        <v>108.89</v>
      </c>
      <c r="K218" s="3024">
        <f t="shared" si="3"/>
        <v>110.32999999999997</v>
      </c>
      <c r="L218" s="3024">
        <f t="shared" si="1"/>
        <v>219.21999999999997</v>
      </c>
      <c r="M218" s="3024"/>
    </row>
    <row r="219" spans="1:13">
      <c r="A219" s="3024"/>
      <c r="B219" s="3024"/>
      <c r="C219" s="3024">
        <v>104</v>
      </c>
      <c r="D219" s="3024">
        <v>134.83000000000001</v>
      </c>
      <c r="E219" s="3024">
        <v>85</v>
      </c>
      <c r="F219" s="3024"/>
      <c r="G219" s="3024">
        <f t="shared" si="2"/>
        <v>219.83</v>
      </c>
      <c r="H219" s="3024"/>
      <c r="I219" s="3024"/>
      <c r="J219" s="3024">
        <f>J216</f>
        <v>108.89</v>
      </c>
      <c r="K219" s="3024">
        <f t="shared" si="3"/>
        <v>110.94000000000001</v>
      </c>
      <c r="L219" s="3024">
        <f t="shared" si="1"/>
        <v>219.83</v>
      </c>
      <c r="M219" s="3024"/>
    </row>
    <row r="220" spans="1:13">
      <c r="A220" s="3024" t="s">
        <v>3102</v>
      </c>
      <c r="B220" s="3024">
        <v>2</v>
      </c>
      <c r="C220" s="3024">
        <v>-201</v>
      </c>
      <c r="D220" s="3024"/>
      <c r="E220" s="3024">
        <v>114.28</v>
      </c>
      <c r="F220" s="3024"/>
      <c r="G220" s="3024">
        <f t="shared" si="2"/>
        <v>114.28</v>
      </c>
      <c r="H220" s="3024">
        <f>SUM(G220:G223)</f>
        <v>817.45</v>
      </c>
      <c r="I220" s="3024"/>
      <c r="J220" s="3024"/>
      <c r="K220" s="3024">
        <f t="shared" si="3"/>
        <v>114.28</v>
      </c>
      <c r="L220" s="3024">
        <f t="shared" si="1"/>
        <v>114.28</v>
      </c>
      <c r="M220" s="3024"/>
    </row>
    <row r="221" spans="1:13">
      <c r="A221" s="3024"/>
      <c r="B221" s="3024"/>
      <c r="C221" s="3024">
        <v>-202</v>
      </c>
      <c r="D221" s="3024"/>
      <c r="E221" s="3024">
        <v>115.26</v>
      </c>
      <c r="F221" s="3024"/>
      <c r="G221" s="3024">
        <f t="shared" si="2"/>
        <v>115.26</v>
      </c>
      <c r="H221" s="3024"/>
      <c r="I221" s="3024"/>
      <c r="J221" s="3024"/>
      <c r="K221" s="3024">
        <f t="shared" si="3"/>
        <v>115.26</v>
      </c>
      <c r="L221" s="3024">
        <f t="shared" si="1"/>
        <v>115.26</v>
      </c>
      <c r="M221" s="3024"/>
    </row>
    <row r="222" spans="1:13">
      <c r="A222" s="3024"/>
      <c r="B222" s="3024"/>
      <c r="C222" s="3024">
        <v>101</v>
      </c>
      <c r="D222" s="3024">
        <v>178.94</v>
      </c>
      <c r="E222" s="3024">
        <v>114.78</v>
      </c>
      <c r="F222" s="3024"/>
      <c r="G222" s="3024">
        <f t="shared" si="2"/>
        <v>293.72000000000003</v>
      </c>
      <c r="H222" s="3024"/>
      <c r="I222" s="3024"/>
      <c r="J222" s="3024">
        <f>282.56/2</f>
        <v>141.28</v>
      </c>
      <c r="K222" s="3024">
        <f t="shared" si="3"/>
        <v>152.44000000000003</v>
      </c>
      <c r="L222" s="3024">
        <f t="shared" si="1"/>
        <v>293.72000000000003</v>
      </c>
      <c r="M222" s="3024">
        <f>J222+J223</f>
        <v>282.56</v>
      </c>
    </row>
    <row r="223" spans="1:13">
      <c r="A223" s="3024"/>
      <c r="B223" s="3024"/>
      <c r="C223" s="3024">
        <v>102</v>
      </c>
      <c r="D223" s="3024">
        <v>179.16</v>
      </c>
      <c r="E223" s="3024">
        <v>115.03</v>
      </c>
      <c r="F223" s="3024"/>
      <c r="G223" s="3024">
        <f t="shared" si="2"/>
        <v>294.19</v>
      </c>
      <c r="H223" s="3024"/>
      <c r="I223" s="3024"/>
      <c r="J223" s="3024">
        <f>J222</f>
        <v>141.28</v>
      </c>
      <c r="K223" s="3024">
        <f t="shared" si="3"/>
        <v>152.91</v>
      </c>
      <c r="L223" s="3024">
        <f t="shared" si="1"/>
        <v>294.19</v>
      </c>
      <c r="M223" s="3024"/>
    </row>
    <row r="224" spans="1:13">
      <c r="A224" s="3024" t="s">
        <v>3067</v>
      </c>
      <c r="B224" s="3024">
        <v>4</v>
      </c>
      <c r="C224" s="3024">
        <v>-201</v>
      </c>
      <c r="D224" s="3024"/>
      <c r="E224" s="3024">
        <v>114.12</v>
      </c>
      <c r="F224" s="3024"/>
      <c r="G224" s="3024">
        <f t="shared" si="2"/>
        <v>114.12</v>
      </c>
      <c r="H224" s="3024">
        <f>SUM(G224:G231)</f>
        <v>1629.12</v>
      </c>
      <c r="I224" s="3024"/>
      <c r="J224" s="3024"/>
      <c r="K224" s="3024">
        <f t="shared" si="3"/>
        <v>114.12</v>
      </c>
      <c r="L224" s="3024">
        <f t="shared" si="1"/>
        <v>114.12</v>
      </c>
      <c r="M224" s="3024"/>
    </row>
    <row r="225" spans="1:13">
      <c r="A225" s="3024"/>
      <c r="B225" s="3024"/>
      <c r="C225" s="3024">
        <v>-202</v>
      </c>
      <c r="D225" s="3024"/>
      <c r="E225" s="3024">
        <v>114.12</v>
      </c>
      <c r="F225" s="3024"/>
      <c r="G225" s="3024">
        <f t="shared" si="2"/>
        <v>114.12</v>
      </c>
      <c r="H225" s="3024"/>
      <c r="I225" s="3024"/>
      <c r="J225" s="3024"/>
      <c r="K225" s="3024">
        <f t="shared" si="3"/>
        <v>114.12</v>
      </c>
      <c r="L225" s="3024">
        <f t="shared" si="1"/>
        <v>114.12</v>
      </c>
      <c r="M225" s="3024"/>
    </row>
    <row r="226" spans="1:13">
      <c r="A226" s="3024"/>
      <c r="B226" s="3024"/>
      <c r="C226" s="3024">
        <v>-203</v>
      </c>
      <c r="D226" s="3024"/>
      <c r="E226" s="3024">
        <v>114.12</v>
      </c>
      <c r="F226" s="3024"/>
      <c r="G226" s="3024">
        <f t="shared" si="2"/>
        <v>114.12</v>
      </c>
      <c r="H226" s="3024"/>
      <c r="I226" s="3024"/>
      <c r="J226" s="3024"/>
      <c r="K226" s="3024">
        <f t="shared" si="3"/>
        <v>114.12</v>
      </c>
      <c r="L226" s="3024">
        <f t="shared" si="1"/>
        <v>114.12</v>
      </c>
      <c r="M226" s="3024"/>
    </row>
    <row r="227" spans="1:13">
      <c r="A227" s="3024"/>
      <c r="B227" s="3024"/>
      <c r="C227" s="3024">
        <v>-204</v>
      </c>
      <c r="D227" s="3024"/>
      <c r="E227" s="3024">
        <v>114.92</v>
      </c>
      <c r="F227" s="3024"/>
      <c r="G227" s="3024">
        <f t="shared" si="2"/>
        <v>114.92</v>
      </c>
      <c r="H227" s="3024"/>
      <c r="I227" s="3024"/>
      <c r="J227" s="3024"/>
      <c r="K227" s="3024">
        <f t="shared" si="3"/>
        <v>114.92</v>
      </c>
      <c r="L227" s="3024">
        <f t="shared" si="1"/>
        <v>114.92</v>
      </c>
      <c r="M227" s="3024"/>
    </row>
    <row r="228" spans="1:13">
      <c r="A228" s="3024"/>
      <c r="B228" s="3024"/>
      <c r="C228" s="3024">
        <v>101</v>
      </c>
      <c r="D228" s="3024">
        <v>178.29</v>
      </c>
      <c r="E228" s="3024">
        <v>114.55</v>
      </c>
      <c r="F228" s="3024"/>
      <c r="G228" s="3024">
        <f t="shared" si="2"/>
        <v>292.83999999999997</v>
      </c>
      <c r="H228" s="3024"/>
      <c r="I228" s="3024"/>
      <c r="J228" s="3028">
        <f>ROUND(563.59/4,2)</f>
        <v>140.9</v>
      </c>
      <c r="K228" s="3024">
        <f t="shared" si="3"/>
        <v>151.93999999999997</v>
      </c>
      <c r="L228" s="3024">
        <f t="shared" si="1"/>
        <v>292.83999999999997</v>
      </c>
      <c r="M228" s="3027">
        <f>J228+J229+J230+J231</f>
        <v>563.59000000000015</v>
      </c>
    </row>
    <row r="229" spans="1:13">
      <c r="A229" s="3024"/>
      <c r="B229" s="3024"/>
      <c r="C229" s="3024">
        <v>102</v>
      </c>
      <c r="D229" s="3024">
        <v>178.29</v>
      </c>
      <c r="E229" s="3024">
        <v>114.55</v>
      </c>
      <c r="F229" s="3024"/>
      <c r="G229" s="3024">
        <f t="shared" si="2"/>
        <v>292.83999999999997</v>
      </c>
      <c r="H229" s="3024"/>
      <c r="I229" s="3024"/>
      <c r="J229" s="3028">
        <f>J228</f>
        <v>140.9</v>
      </c>
      <c r="K229" s="3024">
        <f t="shared" si="3"/>
        <v>151.93999999999997</v>
      </c>
      <c r="L229" s="3024">
        <f t="shared" si="1"/>
        <v>292.83999999999997</v>
      </c>
      <c r="M229" s="3024"/>
    </row>
    <row r="230" spans="1:13">
      <c r="A230" s="3024"/>
      <c r="B230" s="3024"/>
      <c r="C230" s="3024">
        <v>103</v>
      </c>
      <c r="D230" s="3024">
        <v>178.29</v>
      </c>
      <c r="E230" s="3024">
        <v>114.55</v>
      </c>
      <c r="F230" s="3024"/>
      <c r="G230" s="3024">
        <f t="shared" si="2"/>
        <v>292.83999999999997</v>
      </c>
      <c r="H230" s="3024"/>
      <c r="I230" s="3024"/>
      <c r="J230" s="3028">
        <f>J228</f>
        <v>140.9</v>
      </c>
      <c r="K230" s="3024">
        <f t="shared" si="3"/>
        <v>151.93999999999997</v>
      </c>
      <c r="L230" s="3024">
        <f t="shared" si="1"/>
        <v>292.83999999999997</v>
      </c>
      <c r="M230" s="3024"/>
    </row>
    <row r="231" spans="1:13">
      <c r="A231" s="3024"/>
      <c r="B231" s="3024"/>
      <c r="C231" s="3024">
        <v>104</v>
      </c>
      <c r="D231" s="3024">
        <v>178.5</v>
      </c>
      <c r="E231" s="3024">
        <v>114.82</v>
      </c>
      <c r="F231" s="3024"/>
      <c r="G231" s="3024">
        <f t="shared" si="2"/>
        <v>293.32</v>
      </c>
      <c r="H231" s="3024"/>
      <c r="I231" s="3024"/>
      <c r="J231" s="3027">
        <f>563.59-J228-J229-J230</f>
        <v>140.89000000000007</v>
      </c>
      <c r="K231" s="3024">
        <f t="shared" si="3"/>
        <v>152.42999999999992</v>
      </c>
      <c r="L231" s="3024">
        <f t="shared" si="1"/>
        <v>293.32</v>
      </c>
      <c r="M231" s="3024"/>
    </row>
    <row r="232" spans="1:13">
      <c r="A232" s="3024" t="s">
        <v>3103</v>
      </c>
      <c r="B232" s="3024">
        <v>6</v>
      </c>
      <c r="C232" s="3024">
        <v>-201</v>
      </c>
      <c r="D232" s="3024"/>
      <c r="E232" s="3024">
        <v>83.43</v>
      </c>
      <c r="F232" s="3024"/>
      <c r="G232" s="3024">
        <f t="shared" si="2"/>
        <v>83.43</v>
      </c>
      <c r="H232" s="3024">
        <f>SUM(G232:G243)</f>
        <v>1815.6799999999998</v>
      </c>
      <c r="I232" s="3024"/>
      <c r="J232" s="3024"/>
      <c r="K232" s="3024">
        <f t="shared" si="3"/>
        <v>83.43</v>
      </c>
      <c r="L232" s="3024">
        <f t="shared" si="1"/>
        <v>83.43</v>
      </c>
      <c r="M232" s="3024"/>
    </row>
    <row r="233" spans="1:13">
      <c r="A233" s="3024"/>
      <c r="B233" s="3024"/>
      <c r="C233" s="3024">
        <v>-202</v>
      </c>
      <c r="D233" s="3024"/>
      <c r="E233" s="3024">
        <v>84.15</v>
      </c>
      <c r="F233" s="3024"/>
      <c r="G233" s="3024">
        <f t="shared" si="2"/>
        <v>84.15</v>
      </c>
      <c r="H233" s="3024"/>
      <c r="I233" s="3024"/>
      <c r="J233" s="3024"/>
      <c r="K233" s="3024">
        <f t="shared" si="3"/>
        <v>84.15</v>
      </c>
      <c r="L233" s="3024">
        <f t="shared" si="1"/>
        <v>84.15</v>
      </c>
      <c r="M233" s="3024"/>
    </row>
    <row r="234" spans="1:13">
      <c r="A234" s="3024"/>
      <c r="B234" s="3024"/>
      <c r="C234" s="3024">
        <v>-203</v>
      </c>
      <c r="D234" s="3024"/>
      <c r="E234" s="3024">
        <v>84.15</v>
      </c>
      <c r="F234" s="3024"/>
      <c r="G234" s="3024">
        <f t="shared" si="2"/>
        <v>84.15</v>
      </c>
      <c r="H234" s="3024"/>
      <c r="I234" s="3024"/>
      <c r="J234" s="3024"/>
      <c r="K234" s="3024">
        <f t="shared" si="3"/>
        <v>84.15</v>
      </c>
      <c r="L234" s="3024">
        <f t="shared" si="1"/>
        <v>84.15</v>
      </c>
      <c r="M234" s="3024"/>
    </row>
    <row r="235" spans="1:13">
      <c r="A235" s="3024"/>
      <c r="B235" s="3024"/>
      <c r="C235" s="3024">
        <v>-204</v>
      </c>
      <c r="D235" s="3024"/>
      <c r="E235" s="3024">
        <v>83.43</v>
      </c>
      <c r="F235" s="3024"/>
      <c r="G235" s="3024">
        <f t="shared" si="2"/>
        <v>83.43</v>
      </c>
      <c r="H235" s="3024"/>
      <c r="I235" s="3024"/>
      <c r="J235" s="3024"/>
      <c r="K235" s="3024">
        <f t="shared" si="3"/>
        <v>83.43</v>
      </c>
      <c r="L235" s="3024">
        <f t="shared" si="1"/>
        <v>83.43</v>
      </c>
      <c r="M235" s="3024"/>
    </row>
    <row r="236" spans="1:13">
      <c r="A236" s="3024"/>
      <c r="B236" s="3024"/>
      <c r="C236" s="3024">
        <v>-205</v>
      </c>
      <c r="D236" s="3024"/>
      <c r="E236" s="3024">
        <v>84.15</v>
      </c>
      <c r="F236" s="3024"/>
      <c r="G236" s="3024">
        <f t="shared" si="2"/>
        <v>84.15</v>
      </c>
      <c r="H236" s="3024"/>
      <c r="I236" s="3024"/>
      <c r="J236" s="3024"/>
      <c r="K236" s="3024">
        <f t="shared" si="3"/>
        <v>84.15</v>
      </c>
      <c r="L236" s="3024">
        <f t="shared" si="1"/>
        <v>84.15</v>
      </c>
      <c r="M236" s="3024"/>
    </row>
    <row r="237" spans="1:13">
      <c r="A237" s="3024"/>
      <c r="B237" s="3024"/>
      <c r="C237" s="3024">
        <v>-206</v>
      </c>
      <c r="D237" s="3024"/>
      <c r="E237" s="3024">
        <v>84.15</v>
      </c>
      <c r="F237" s="3024"/>
      <c r="G237" s="3024">
        <f t="shared" si="2"/>
        <v>84.15</v>
      </c>
      <c r="H237" s="3024"/>
      <c r="I237" s="3024"/>
      <c r="J237" s="3024"/>
      <c r="K237" s="3024">
        <f t="shared" si="3"/>
        <v>84.15</v>
      </c>
      <c r="L237" s="3024">
        <f t="shared" si="1"/>
        <v>84.15</v>
      </c>
      <c r="M237" s="3024"/>
    </row>
    <row r="238" spans="1:13">
      <c r="A238" s="3024"/>
      <c r="B238" s="3024"/>
      <c r="C238" s="3024">
        <v>101</v>
      </c>
      <c r="D238" s="3024">
        <v>134.18</v>
      </c>
      <c r="E238" s="3024">
        <v>84.28</v>
      </c>
      <c r="F238" s="3024"/>
      <c r="G238" s="3024">
        <f t="shared" si="2"/>
        <v>218.46</v>
      </c>
      <c r="H238" s="3024"/>
      <c r="I238" s="3024"/>
      <c r="J238" s="3024">
        <f>J206</f>
        <v>108.67</v>
      </c>
      <c r="K238" s="3024">
        <f t="shared" si="3"/>
        <v>109.79</v>
      </c>
      <c r="L238" s="3024">
        <f t="shared" si="1"/>
        <v>218.46</v>
      </c>
      <c r="M238" s="3024">
        <f>J238+J239+J240+J241+J242+J243</f>
        <v>652.01</v>
      </c>
    </row>
    <row r="239" spans="1:13">
      <c r="A239" s="3024"/>
      <c r="B239" s="3024"/>
      <c r="C239" s="3024">
        <v>102</v>
      </c>
      <c r="D239" s="3024">
        <v>134.16999999999999</v>
      </c>
      <c r="E239" s="3024">
        <v>84.42</v>
      </c>
      <c r="F239" s="3024"/>
      <c r="G239" s="3024">
        <f t="shared" si="2"/>
        <v>218.58999999999997</v>
      </c>
      <c r="H239" s="3024"/>
      <c r="I239" s="3024"/>
      <c r="J239" s="3024">
        <f>J238</f>
        <v>108.67</v>
      </c>
      <c r="K239" s="3024">
        <f t="shared" si="3"/>
        <v>109.91999999999997</v>
      </c>
      <c r="L239" s="3024">
        <f t="shared" si="1"/>
        <v>218.58999999999997</v>
      </c>
      <c r="M239" s="3024"/>
    </row>
    <row r="240" spans="1:13">
      <c r="A240" s="3024"/>
      <c r="B240" s="3024"/>
      <c r="C240" s="3024">
        <v>103</v>
      </c>
      <c r="D240" s="3024">
        <v>134.36000000000001</v>
      </c>
      <c r="E240" s="3024">
        <v>84.7</v>
      </c>
      <c r="F240" s="3024"/>
      <c r="G240" s="3024">
        <f t="shared" si="2"/>
        <v>219.06</v>
      </c>
      <c r="H240" s="3024"/>
      <c r="I240" s="3024"/>
      <c r="J240" s="3024">
        <f>J238</f>
        <v>108.67</v>
      </c>
      <c r="K240" s="3024">
        <f t="shared" si="3"/>
        <v>110.39</v>
      </c>
      <c r="L240" s="3024">
        <f t="shared" si="1"/>
        <v>219.06</v>
      </c>
      <c r="M240" s="3024"/>
    </row>
    <row r="241" spans="1:13">
      <c r="A241" s="3024"/>
      <c r="B241" s="3024"/>
      <c r="C241" s="3024">
        <v>104</v>
      </c>
      <c r="D241" s="3024">
        <v>134.18</v>
      </c>
      <c r="E241" s="3024">
        <v>84.28</v>
      </c>
      <c r="F241" s="3024"/>
      <c r="G241" s="3024">
        <f t="shared" si="2"/>
        <v>218.46</v>
      </c>
      <c r="H241" s="3024"/>
      <c r="I241" s="3024"/>
      <c r="J241" s="3024">
        <f>J238</f>
        <v>108.67</v>
      </c>
      <c r="K241" s="3024">
        <f t="shared" si="3"/>
        <v>109.79</v>
      </c>
      <c r="L241" s="3024">
        <f t="shared" si="1"/>
        <v>218.46</v>
      </c>
      <c r="M241" s="3024"/>
    </row>
    <row r="242" spans="1:13">
      <c r="A242" s="3024"/>
      <c r="B242" s="3024"/>
      <c r="C242" s="3024">
        <v>105</v>
      </c>
      <c r="D242" s="3024">
        <v>134.16999999999999</v>
      </c>
      <c r="E242" s="3024">
        <v>84.42</v>
      </c>
      <c r="F242" s="3024"/>
      <c r="G242" s="3024">
        <f t="shared" si="2"/>
        <v>218.58999999999997</v>
      </c>
      <c r="H242" s="3024"/>
      <c r="I242" s="3024"/>
      <c r="J242" s="3024">
        <f>J238</f>
        <v>108.67</v>
      </c>
      <c r="K242" s="3024">
        <f t="shared" si="3"/>
        <v>109.91999999999997</v>
      </c>
      <c r="L242" s="3024">
        <f t="shared" si="1"/>
        <v>218.58999999999997</v>
      </c>
      <c r="M242" s="3024"/>
    </row>
    <row r="243" spans="1:13">
      <c r="A243" s="3024"/>
      <c r="B243" s="3024"/>
      <c r="C243" s="3024">
        <v>106</v>
      </c>
      <c r="D243" s="3024">
        <v>134.36000000000001</v>
      </c>
      <c r="E243" s="3024">
        <v>84.7</v>
      </c>
      <c r="F243" s="3024"/>
      <c r="G243" s="3024">
        <f t="shared" si="2"/>
        <v>219.06</v>
      </c>
      <c r="H243" s="3024"/>
      <c r="I243" s="3024"/>
      <c r="J243" s="3024">
        <f>J211</f>
        <v>108.66</v>
      </c>
      <c r="K243" s="3024">
        <f t="shared" si="3"/>
        <v>110.4</v>
      </c>
      <c r="L243" s="3024">
        <f t="shared" si="1"/>
        <v>219.06</v>
      </c>
      <c r="M243" s="3024"/>
    </row>
    <row r="244" spans="1:13">
      <c r="A244" s="3024" t="s">
        <v>3068</v>
      </c>
      <c r="B244" s="3024">
        <v>6</v>
      </c>
      <c r="C244" s="3024">
        <v>-201</v>
      </c>
      <c r="D244" s="3024"/>
      <c r="E244" s="3024">
        <v>83.45</v>
      </c>
      <c r="F244" s="3024"/>
      <c r="G244" s="3024">
        <f t="shared" si="2"/>
        <v>83.45</v>
      </c>
      <c r="H244" s="3024">
        <f>SUM(G244:G255)</f>
        <v>1816.8799999999999</v>
      </c>
      <c r="I244" s="3024"/>
      <c r="J244" s="3024"/>
      <c r="K244" s="3024">
        <f t="shared" si="3"/>
        <v>83.45</v>
      </c>
      <c r="L244" s="3024">
        <f t="shared" si="1"/>
        <v>83.45</v>
      </c>
      <c r="M244" s="3024"/>
    </row>
    <row r="245" spans="1:13">
      <c r="A245" s="3024"/>
      <c r="B245" s="3024"/>
      <c r="C245" s="3024">
        <v>-202</v>
      </c>
      <c r="D245" s="3024"/>
      <c r="E245" s="3024">
        <v>84.17</v>
      </c>
      <c r="F245" s="3024"/>
      <c r="G245" s="3024">
        <f t="shared" si="2"/>
        <v>84.17</v>
      </c>
      <c r="H245" s="3024"/>
      <c r="I245" s="3024"/>
      <c r="J245" s="3024"/>
      <c r="K245" s="3024">
        <f t="shared" si="3"/>
        <v>84.17</v>
      </c>
      <c r="L245" s="3024">
        <f t="shared" si="1"/>
        <v>84.17</v>
      </c>
      <c r="M245" s="3024"/>
    </row>
    <row r="246" spans="1:13">
      <c r="A246" s="3024"/>
      <c r="B246" s="3024"/>
      <c r="C246" s="3024">
        <v>-203</v>
      </c>
      <c r="D246" s="3024"/>
      <c r="E246" s="3024">
        <v>84.17</v>
      </c>
      <c r="F246" s="3024"/>
      <c r="G246" s="3024">
        <f t="shared" si="2"/>
        <v>84.17</v>
      </c>
      <c r="H246" s="3024"/>
      <c r="I246" s="3024"/>
      <c r="J246" s="3024"/>
      <c r="K246" s="3024">
        <f t="shared" si="3"/>
        <v>84.17</v>
      </c>
      <c r="L246" s="3024">
        <f t="shared" si="1"/>
        <v>84.17</v>
      </c>
      <c r="M246" s="3024"/>
    </row>
    <row r="247" spans="1:13">
      <c r="A247" s="3024"/>
      <c r="B247" s="3024"/>
      <c r="C247" s="3024">
        <v>-204</v>
      </c>
      <c r="D247" s="3024"/>
      <c r="E247" s="3024">
        <v>83.45</v>
      </c>
      <c r="F247" s="3024"/>
      <c r="G247" s="3024">
        <f t="shared" si="2"/>
        <v>83.45</v>
      </c>
      <c r="H247" s="3024"/>
      <c r="I247" s="3024"/>
      <c r="J247" s="3024"/>
      <c r="K247" s="3024">
        <f t="shared" si="3"/>
        <v>83.45</v>
      </c>
      <c r="L247" s="3024">
        <f t="shared" si="1"/>
        <v>83.45</v>
      </c>
      <c r="M247" s="3024"/>
    </row>
    <row r="248" spans="1:13">
      <c r="A248" s="3024"/>
      <c r="B248" s="3024"/>
      <c r="C248" s="3024">
        <v>-205</v>
      </c>
      <c r="D248" s="3024"/>
      <c r="E248" s="3024">
        <v>84.17</v>
      </c>
      <c r="F248" s="3024"/>
      <c r="G248" s="3024">
        <f t="shared" ref="G248:G255" si="9">SUM(D248:F248)</f>
        <v>84.17</v>
      </c>
      <c r="H248" s="3024"/>
      <c r="I248" s="3024"/>
      <c r="J248" s="3024"/>
      <c r="K248" s="3024">
        <f t="shared" si="3"/>
        <v>84.17</v>
      </c>
      <c r="L248" s="3024">
        <f t="shared" si="1"/>
        <v>84.17</v>
      </c>
      <c r="M248" s="3024"/>
    </row>
    <row r="249" spans="1:13">
      <c r="A249" s="3024"/>
      <c r="B249" s="3024"/>
      <c r="C249" s="3024">
        <v>-206</v>
      </c>
      <c r="D249" s="3024"/>
      <c r="E249" s="3024">
        <v>84.17</v>
      </c>
      <c r="F249" s="3024"/>
      <c r="G249" s="3024">
        <f t="shared" si="9"/>
        <v>84.17</v>
      </c>
      <c r="H249" s="3024"/>
      <c r="I249" s="3024"/>
      <c r="J249" s="3024"/>
      <c r="K249" s="3024">
        <f t="shared" si="3"/>
        <v>84.17</v>
      </c>
      <c r="L249" s="3024">
        <f t="shared" si="1"/>
        <v>84.17</v>
      </c>
      <c r="M249" s="3024"/>
    </row>
    <row r="250" spans="1:13">
      <c r="A250" s="3024"/>
      <c r="B250" s="3024"/>
      <c r="C250" s="3024">
        <v>101</v>
      </c>
      <c r="D250" s="3024">
        <v>134.29</v>
      </c>
      <c r="E250" s="3024">
        <v>84.35</v>
      </c>
      <c r="F250" s="3024"/>
      <c r="G250" s="3024">
        <f t="shared" si="9"/>
        <v>218.64</v>
      </c>
      <c r="H250" s="3024"/>
      <c r="I250" s="3024"/>
      <c r="J250" s="3024">
        <f>J238</f>
        <v>108.67</v>
      </c>
      <c r="K250" s="3024">
        <f t="shared" si="3"/>
        <v>109.96999999999998</v>
      </c>
      <c r="L250" s="3024">
        <f t="shared" si="1"/>
        <v>218.64</v>
      </c>
      <c r="M250" s="3024">
        <f>J250+J251+J252+J253+J254+J255</f>
        <v>652.01</v>
      </c>
    </row>
    <row r="251" spans="1:13">
      <c r="A251" s="3024"/>
      <c r="B251" s="3024"/>
      <c r="C251" s="3024">
        <v>102</v>
      </c>
      <c r="D251" s="3024">
        <v>134.28</v>
      </c>
      <c r="E251" s="3024">
        <v>84.49</v>
      </c>
      <c r="F251" s="3024"/>
      <c r="G251" s="3024">
        <f t="shared" si="9"/>
        <v>218.76999999999998</v>
      </c>
      <c r="H251" s="3024"/>
      <c r="I251" s="3024"/>
      <c r="J251" s="3024">
        <f>J250</f>
        <v>108.67</v>
      </c>
      <c r="K251" s="3024">
        <f t="shared" si="3"/>
        <v>110.09999999999998</v>
      </c>
      <c r="L251" s="3024">
        <f t="shared" si="1"/>
        <v>218.76999999999998</v>
      </c>
      <c r="M251" s="3024"/>
    </row>
    <row r="252" spans="1:13">
      <c r="A252" s="3024"/>
      <c r="B252" s="3024"/>
      <c r="C252" s="3024">
        <v>103</v>
      </c>
      <c r="D252" s="3024">
        <v>134.47</v>
      </c>
      <c r="E252" s="3024">
        <v>84.77</v>
      </c>
      <c r="F252" s="3024"/>
      <c r="G252" s="3024">
        <f t="shared" si="9"/>
        <v>219.24</v>
      </c>
      <c r="H252" s="3024"/>
      <c r="I252" s="3024"/>
      <c r="J252" s="3024">
        <f>J250</f>
        <v>108.67</v>
      </c>
      <c r="K252" s="3024">
        <f t="shared" si="3"/>
        <v>110.57000000000001</v>
      </c>
      <c r="L252" s="3024">
        <f t="shared" si="1"/>
        <v>219.24</v>
      </c>
      <c r="M252" s="3024"/>
    </row>
    <row r="253" spans="1:13">
      <c r="A253" s="3024"/>
      <c r="B253" s="3024"/>
      <c r="C253" s="3024">
        <v>104</v>
      </c>
      <c r="D253" s="3024">
        <v>134.29</v>
      </c>
      <c r="E253" s="3024">
        <v>84.35</v>
      </c>
      <c r="F253" s="3024"/>
      <c r="G253" s="3024">
        <f t="shared" si="9"/>
        <v>218.64</v>
      </c>
      <c r="H253" s="3024"/>
      <c r="I253" s="3024"/>
      <c r="J253" s="3024">
        <f>J250</f>
        <v>108.67</v>
      </c>
      <c r="K253" s="3024">
        <f t="shared" si="3"/>
        <v>109.96999999999998</v>
      </c>
      <c r="L253" s="3024">
        <f t="shared" si="1"/>
        <v>218.64</v>
      </c>
      <c r="M253" s="3024"/>
    </row>
    <row r="254" spans="1:13">
      <c r="A254" s="3024"/>
      <c r="B254" s="3024"/>
      <c r="C254" s="3024">
        <v>105</v>
      </c>
      <c r="D254" s="3024">
        <v>134.28</v>
      </c>
      <c r="E254" s="3024">
        <v>84.49</v>
      </c>
      <c r="F254" s="3024"/>
      <c r="G254" s="3024">
        <f t="shared" si="9"/>
        <v>218.76999999999998</v>
      </c>
      <c r="H254" s="3024"/>
      <c r="I254" s="3024"/>
      <c r="J254" s="3024">
        <f>J250</f>
        <v>108.67</v>
      </c>
      <c r="K254" s="3024">
        <f t="shared" si="3"/>
        <v>110.09999999999998</v>
      </c>
      <c r="L254" s="3024">
        <f t="shared" si="1"/>
        <v>218.76999999999998</v>
      </c>
      <c r="M254" s="3024"/>
    </row>
    <row r="255" spans="1:13">
      <c r="A255" s="3024"/>
      <c r="B255" s="3024"/>
      <c r="C255" s="3024">
        <v>106</v>
      </c>
      <c r="D255" s="3024">
        <v>134.47</v>
      </c>
      <c r="E255" s="3024">
        <v>84.77</v>
      </c>
      <c r="F255" s="3024"/>
      <c r="G255" s="3024">
        <f t="shared" si="9"/>
        <v>219.24</v>
      </c>
      <c r="H255" s="3024"/>
      <c r="I255" s="3024"/>
      <c r="J255" s="3024">
        <f>J243</f>
        <v>108.66</v>
      </c>
      <c r="K255" s="3024">
        <f t="shared" si="3"/>
        <v>110.58000000000001</v>
      </c>
      <c r="L255" s="3024">
        <f t="shared" si="1"/>
        <v>219.24</v>
      </c>
      <c r="M255" s="3024"/>
    </row>
    <row r="256" spans="1:13">
      <c r="A256" s="3024" t="s">
        <v>3104</v>
      </c>
      <c r="B256" s="3024">
        <v>3</v>
      </c>
      <c r="C256" s="3024">
        <v>-201</v>
      </c>
      <c r="D256" s="3024"/>
      <c r="E256" s="3024">
        <v>84.37</v>
      </c>
      <c r="F256" s="3024"/>
      <c r="G256" s="3024">
        <f t="shared" si="2"/>
        <v>84.37</v>
      </c>
      <c r="H256" s="3024">
        <f>SUM(G256:G261)</f>
        <v>931.21999999999991</v>
      </c>
      <c r="I256" s="3024"/>
      <c r="J256" s="3024"/>
      <c r="K256" s="3024">
        <f t="shared" si="3"/>
        <v>84.37</v>
      </c>
      <c r="L256" s="3024">
        <f t="shared" si="1"/>
        <v>84.37</v>
      </c>
      <c r="M256" s="3024"/>
    </row>
    <row r="257" spans="1:13">
      <c r="A257" s="3024"/>
      <c r="B257" s="3024"/>
      <c r="C257" s="3024">
        <v>-202</v>
      </c>
      <c r="D257" s="3024"/>
      <c r="E257" s="3024">
        <v>85.1</v>
      </c>
      <c r="F257" s="3024"/>
      <c r="G257" s="3024">
        <f t="shared" ref="G257:G260" si="10">SUM(D257:F257)</f>
        <v>85.1</v>
      </c>
      <c r="H257" s="3024"/>
      <c r="I257" s="3024"/>
      <c r="J257" s="3024"/>
      <c r="K257" s="3024">
        <f t="shared" si="3"/>
        <v>85.1</v>
      </c>
      <c r="L257" s="3024">
        <f t="shared" si="1"/>
        <v>85.1</v>
      </c>
      <c r="M257" s="3024"/>
    </row>
    <row r="258" spans="1:13">
      <c r="A258" s="3024"/>
      <c r="B258" s="3024"/>
      <c r="C258" s="3024">
        <v>-203</v>
      </c>
      <c r="D258" s="3024"/>
      <c r="E258" s="3024">
        <v>85.1</v>
      </c>
      <c r="F258" s="3024"/>
      <c r="G258" s="3024">
        <f t="shared" si="10"/>
        <v>85.1</v>
      </c>
      <c r="H258" s="3024"/>
      <c r="I258" s="3024"/>
      <c r="J258" s="3024"/>
      <c r="K258" s="3024">
        <f t="shared" si="3"/>
        <v>85.1</v>
      </c>
      <c r="L258" s="3024">
        <f t="shared" si="1"/>
        <v>85.1</v>
      </c>
      <c r="M258" s="3024"/>
    </row>
    <row r="259" spans="1:13">
      <c r="A259" s="3024"/>
      <c r="B259" s="3024"/>
      <c r="C259" s="3024">
        <v>101</v>
      </c>
      <c r="D259" s="3024">
        <v>138.69</v>
      </c>
      <c r="E259" s="3024">
        <v>86.61</v>
      </c>
      <c r="F259" s="3024"/>
      <c r="G259" s="3024">
        <f t="shared" si="10"/>
        <v>225.3</v>
      </c>
      <c r="H259" s="3024"/>
      <c r="I259" s="3024"/>
      <c r="J259" s="3024">
        <f>ROUND(337.54/3,2)</f>
        <v>112.51</v>
      </c>
      <c r="K259" s="3024">
        <f t="shared" si="3"/>
        <v>112.79</v>
      </c>
      <c r="L259" s="3024">
        <f t="shared" si="1"/>
        <v>225.3</v>
      </c>
      <c r="M259" s="3024">
        <f>J259+J260+J261</f>
        <v>337.54</v>
      </c>
    </row>
    <row r="260" spans="1:13">
      <c r="A260" s="3024"/>
      <c r="B260" s="3024"/>
      <c r="C260" s="3024">
        <v>102</v>
      </c>
      <c r="D260" s="3024">
        <v>138.69</v>
      </c>
      <c r="E260" s="3024">
        <v>86.75</v>
      </c>
      <c r="F260" s="3024"/>
      <c r="G260" s="3024">
        <f t="shared" si="10"/>
        <v>225.44</v>
      </c>
      <c r="H260" s="3024"/>
      <c r="I260" s="3024"/>
      <c r="J260" s="3024">
        <f>J259</f>
        <v>112.51</v>
      </c>
      <c r="K260" s="3024">
        <f t="shared" si="3"/>
        <v>112.92999999999999</v>
      </c>
      <c r="L260" s="3024">
        <f t="shared" si="1"/>
        <v>225.44</v>
      </c>
      <c r="M260" s="3024"/>
    </row>
    <row r="261" spans="1:13">
      <c r="A261" s="3024"/>
      <c r="B261" s="3024"/>
      <c r="C261" s="3024">
        <v>103</v>
      </c>
      <c r="D261" s="3024">
        <v>138.88</v>
      </c>
      <c r="E261" s="3024">
        <v>87.03</v>
      </c>
      <c r="F261" s="3024"/>
      <c r="G261" s="3024">
        <f>SUM(D261:F261)</f>
        <v>225.91</v>
      </c>
      <c r="H261" s="3024"/>
      <c r="I261" s="3024"/>
      <c r="J261" s="3024">
        <f>337.54-J259-J260</f>
        <v>112.52000000000002</v>
      </c>
      <c r="K261" s="3024">
        <f t="shared" si="3"/>
        <v>113.38999999999997</v>
      </c>
      <c r="L261" s="3024">
        <f t="shared" si="1"/>
        <v>225.91</v>
      </c>
      <c r="M261" s="3024"/>
    </row>
    <row r="262" spans="1:13">
      <c r="A262" s="3024" t="s">
        <v>3069</v>
      </c>
      <c r="B262" s="3024">
        <v>3</v>
      </c>
      <c r="C262" s="3024">
        <v>-201</v>
      </c>
      <c r="D262" s="3024"/>
      <c r="E262" s="3024">
        <v>84.35</v>
      </c>
      <c r="F262" s="3024"/>
      <c r="G262" s="3024">
        <f t="shared" si="2"/>
        <v>84.35</v>
      </c>
      <c r="H262" s="3024">
        <f>SUM(G262:G267)</f>
        <v>930.61</v>
      </c>
      <c r="I262" s="3024"/>
      <c r="J262" s="3024"/>
      <c r="K262" s="3024">
        <f t="shared" si="3"/>
        <v>84.35</v>
      </c>
      <c r="L262" s="3024">
        <f t="shared" si="1"/>
        <v>84.35</v>
      </c>
      <c r="M262" s="3024"/>
    </row>
    <row r="263" spans="1:13">
      <c r="A263" s="3024"/>
      <c r="B263" s="3024"/>
      <c r="C263" s="3024">
        <v>-202</v>
      </c>
      <c r="D263" s="3024"/>
      <c r="E263" s="3024">
        <v>85.08</v>
      </c>
      <c r="F263" s="3024"/>
      <c r="G263" s="3024">
        <f t="shared" ref="G263:G267" si="11">SUM(D263:F263)</f>
        <v>85.08</v>
      </c>
      <c r="H263" s="3024"/>
      <c r="I263" s="3024"/>
      <c r="J263" s="3024"/>
      <c r="K263" s="3024">
        <f t="shared" si="3"/>
        <v>85.08</v>
      </c>
      <c r="L263" s="3024">
        <f t="shared" si="1"/>
        <v>85.08</v>
      </c>
      <c r="M263" s="3024"/>
    </row>
    <row r="264" spans="1:13">
      <c r="A264" s="3024"/>
      <c r="B264" s="3024"/>
      <c r="C264" s="3024">
        <v>-203</v>
      </c>
      <c r="D264" s="3024"/>
      <c r="E264" s="3024">
        <v>85.08</v>
      </c>
      <c r="F264" s="3024"/>
      <c r="G264" s="3024">
        <f t="shared" si="11"/>
        <v>85.08</v>
      </c>
      <c r="H264" s="3024"/>
      <c r="I264" s="3024"/>
      <c r="J264" s="3024"/>
      <c r="K264" s="3024">
        <f t="shared" si="3"/>
        <v>85.08</v>
      </c>
      <c r="L264" s="3024">
        <f t="shared" si="1"/>
        <v>85.08</v>
      </c>
      <c r="M264" s="3024"/>
    </row>
    <row r="265" spans="1:13">
      <c r="A265" s="3024"/>
      <c r="B265" s="3024"/>
      <c r="C265" s="3024">
        <v>101</v>
      </c>
      <c r="D265" s="3024">
        <v>138.57</v>
      </c>
      <c r="E265" s="3024">
        <v>86.54</v>
      </c>
      <c r="F265" s="3024"/>
      <c r="G265" s="3024">
        <f t="shared" si="11"/>
        <v>225.11</v>
      </c>
      <c r="H265" s="3024"/>
      <c r="I265" s="3024"/>
      <c r="J265" s="3024">
        <f>J259</f>
        <v>112.51</v>
      </c>
      <c r="K265" s="3024">
        <f t="shared" si="3"/>
        <v>112.60000000000001</v>
      </c>
      <c r="L265" s="3024">
        <f t="shared" si="1"/>
        <v>225.11</v>
      </c>
      <c r="M265" s="3024">
        <f>J265+J266+J267</f>
        <v>337.54</v>
      </c>
    </row>
    <row r="266" spans="1:13">
      <c r="A266" s="3024"/>
      <c r="B266" s="3024"/>
      <c r="C266" s="3024">
        <v>102</v>
      </c>
      <c r="D266" s="3024">
        <v>138.57</v>
      </c>
      <c r="E266" s="3024">
        <v>86.68</v>
      </c>
      <c r="F266" s="3024"/>
      <c r="G266" s="3024">
        <f t="shared" si="11"/>
        <v>225.25</v>
      </c>
      <c r="H266" s="3024"/>
      <c r="I266" s="3024"/>
      <c r="J266" s="3024">
        <f>J265</f>
        <v>112.51</v>
      </c>
      <c r="K266" s="3024">
        <f t="shared" si="3"/>
        <v>112.74</v>
      </c>
      <c r="L266" s="3024">
        <f t="shared" si="1"/>
        <v>225.25</v>
      </c>
      <c r="M266" s="3024"/>
    </row>
    <row r="267" spans="1:13">
      <c r="A267" s="3024"/>
      <c r="B267" s="3024"/>
      <c r="C267" s="3024">
        <v>103</v>
      </c>
      <c r="D267" s="3024">
        <v>138.78</v>
      </c>
      <c r="E267" s="3024">
        <v>86.96</v>
      </c>
      <c r="F267" s="3024"/>
      <c r="G267" s="3024">
        <f t="shared" si="11"/>
        <v>225.74</v>
      </c>
      <c r="H267" s="3024"/>
      <c r="I267" s="3024"/>
      <c r="J267" s="3024">
        <f>J261</f>
        <v>112.52000000000002</v>
      </c>
      <c r="K267" s="3024">
        <f t="shared" si="3"/>
        <v>113.21999999999998</v>
      </c>
      <c r="L267" s="3024">
        <f t="shared" si="1"/>
        <v>225.74</v>
      </c>
      <c r="M267" s="3024"/>
    </row>
    <row r="268" spans="1:13">
      <c r="A268" s="3024" t="s">
        <v>3105</v>
      </c>
      <c r="B268" s="3024">
        <v>6</v>
      </c>
      <c r="C268" s="3024">
        <v>-201</v>
      </c>
      <c r="D268" s="3024"/>
      <c r="E268" s="3024">
        <v>83.45</v>
      </c>
      <c r="F268" s="3024"/>
      <c r="G268" s="3024">
        <f t="shared" si="2"/>
        <v>83.45</v>
      </c>
      <c r="H268" s="3024">
        <f>SUM(G268:G279)</f>
        <v>1816.8799999999999</v>
      </c>
      <c r="I268" s="3024"/>
      <c r="J268" s="3024"/>
      <c r="K268" s="3024">
        <f t="shared" si="3"/>
        <v>83.45</v>
      </c>
      <c r="L268" s="3024">
        <f t="shared" si="1"/>
        <v>83.45</v>
      </c>
      <c r="M268" s="3024"/>
    </row>
    <row r="269" spans="1:13">
      <c r="A269" s="3024"/>
      <c r="B269" s="3024"/>
      <c r="C269" s="3024">
        <v>-202</v>
      </c>
      <c r="D269" s="3024"/>
      <c r="E269" s="3024">
        <v>84.17</v>
      </c>
      <c r="F269" s="3024"/>
      <c r="G269" s="3024">
        <f t="shared" ref="G269:G279" si="12">SUM(D269:F269)</f>
        <v>84.17</v>
      </c>
      <c r="H269" s="3024"/>
      <c r="I269" s="3024"/>
      <c r="J269" s="3024"/>
      <c r="K269" s="3024">
        <f t="shared" si="3"/>
        <v>84.17</v>
      </c>
      <c r="L269" s="3024">
        <f t="shared" si="1"/>
        <v>84.17</v>
      </c>
      <c r="M269" s="3024"/>
    </row>
    <row r="270" spans="1:13">
      <c r="A270" s="3024"/>
      <c r="B270" s="3024"/>
      <c r="C270" s="3024">
        <v>-203</v>
      </c>
      <c r="D270" s="3024"/>
      <c r="E270" s="3024">
        <v>84.17</v>
      </c>
      <c r="F270" s="3024"/>
      <c r="G270" s="3024">
        <f t="shared" si="12"/>
        <v>84.17</v>
      </c>
      <c r="H270" s="3024"/>
      <c r="I270" s="3024"/>
      <c r="J270" s="3024"/>
      <c r="K270" s="3024">
        <f t="shared" si="3"/>
        <v>84.17</v>
      </c>
      <c r="L270" s="3024">
        <f t="shared" ref="L270:L333" si="13">J270+K270</f>
        <v>84.17</v>
      </c>
      <c r="M270" s="3024"/>
    </row>
    <row r="271" spans="1:13">
      <c r="A271" s="3024"/>
      <c r="B271" s="3024"/>
      <c r="C271" s="3024">
        <v>-204</v>
      </c>
      <c r="D271" s="3024"/>
      <c r="E271" s="3024">
        <v>83.45</v>
      </c>
      <c r="F271" s="3024"/>
      <c r="G271" s="3024">
        <f t="shared" si="12"/>
        <v>83.45</v>
      </c>
      <c r="H271" s="3024"/>
      <c r="I271" s="3024"/>
      <c r="J271" s="3024"/>
      <c r="K271" s="3024">
        <f t="shared" si="3"/>
        <v>83.45</v>
      </c>
      <c r="L271" s="3024">
        <f t="shared" si="13"/>
        <v>83.45</v>
      </c>
      <c r="M271" s="3024"/>
    </row>
    <row r="272" spans="1:13">
      <c r="A272" s="3024"/>
      <c r="B272" s="3024"/>
      <c r="C272" s="3024">
        <v>-205</v>
      </c>
      <c r="D272" s="3024"/>
      <c r="E272" s="3024">
        <v>84.17</v>
      </c>
      <c r="F272" s="3024"/>
      <c r="G272" s="3024">
        <f t="shared" si="12"/>
        <v>84.17</v>
      </c>
      <c r="H272" s="3024"/>
      <c r="I272" s="3024"/>
      <c r="J272" s="3024"/>
      <c r="K272" s="3024">
        <f t="shared" si="3"/>
        <v>84.17</v>
      </c>
      <c r="L272" s="3024">
        <f t="shared" si="13"/>
        <v>84.17</v>
      </c>
      <c r="M272" s="3024"/>
    </row>
    <row r="273" spans="1:13">
      <c r="A273" s="3024"/>
      <c r="B273" s="3024"/>
      <c r="C273" s="3024">
        <v>-206</v>
      </c>
      <c r="D273" s="3024"/>
      <c r="E273" s="3024">
        <v>84.17</v>
      </c>
      <c r="F273" s="3024"/>
      <c r="G273" s="3024">
        <f t="shared" si="12"/>
        <v>84.17</v>
      </c>
      <c r="H273" s="3024"/>
      <c r="I273" s="3024"/>
      <c r="J273" s="3024"/>
      <c r="K273" s="3024">
        <f t="shared" si="3"/>
        <v>84.17</v>
      </c>
      <c r="L273" s="3024">
        <f t="shared" si="13"/>
        <v>84.17</v>
      </c>
      <c r="M273" s="3024"/>
    </row>
    <row r="274" spans="1:13">
      <c r="A274" s="3024"/>
      <c r="B274" s="3024"/>
      <c r="C274" s="3024">
        <v>101</v>
      </c>
      <c r="D274" s="3024">
        <v>134.29</v>
      </c>
      <c r="E274" s="3024">
        <v>84.35</v>
      </c>
      <c r="F274" s="3024"/>
      <c r="G274" s="3024">
        <f t="shared" si="12"/>
        <v>218.64</v>
      </c>
      <c r="H274" s="3024"/>
      <c r="I274" s="3024"/>
      <c r="J274" s="3024">
        <f>J250</f>
        <v>108.67</v>
      </c>
      <c r="K274" s="3024">
        <f t="shared" si="3"/>
        <v>109.96999999999998</v>
      </c>
      <c r="L274" s="3024">
        <f t="shared" si="13"/>
        <v>218.64</v>
      </c>
      <c r="M274" s="3024">
        <f>J274+J275+J276+J277+J278+J279</f>
        <v>652.01</v>
      </c>
    </row>
    <row r="275" spans="1:13">
      <c r="A275" s="3024"/>
      <c r="B275" s="3024"/>
      <c r="C275" s="3024">
        <v>102</v>
      </c>
      <c r="D275" s="3024">
        <v>134.28</v>
      </c>
      <c r="E275" s="3024">
        <v>84.49</v>
      </c>
      <c r="F275" s="3024"/>
      <c r="G275" s="3024">
        <f t="shared" si="12"/>
        <v>218.76999999999998</v>
      </c>
      <c r="H275" s="3024"/>
      <c r="I275" s="3024"/>
      <c r="J275" s="3024">
        <f>J274</f>
        <v>108.67</v>
      </c>
      <c r="K275" s="3024">
        <f t="shared" si="3"/>
        <v>110.09999999999998</v>
      </c>
      <c r="L275" s="3024">
        <f t="shared" si="13"/>
        <v>218.76999999999998</v>
      </c>
      <c r="M275" s="3024"/>
    </row>
    <row r="276" spans="1:13">
      <c r="A276" s="3024"/>
      <c r="B276" s="3024"/>
      <c r="C276" s="3024">
        <v>103</v>
      </c>
      <c r="D276" s="3024">
        <v>134.47</v>
      </c>
      <c r="E276" s="3024">
        <v>84.77</v>
      </c>
      <c r="F276" s="3024"/>
      <c r="G276" s="3024">
        <f t="shared" si="12"/>
        <v>219.24</v>
      </c>
      <c r="H276" s="3024"/>
      <c r="I276" s="3024"/>
      <c r="J276" s="3024">
        <f>J274</f>
        <v>108.67</v>
      </c>
      <c r="K276" s="3024">
        <f t="shared" si="3"/>
        <v>110.57000000000001</v>
      </c>
      <c r="L276" s="3024">
        <f t="shared" si="13"/>
        <v>219.24</v>
      </c>
      <c r="M276" s="3024"/>
    </row>
    <row r="277" spans="1:13">
      <c r="A277" s="3024"/>
      <c r="B277" s="3024"/>
      <c r="C277" s="3024">
        <v>104</v>
      </c>
      <c r="D277" s="3024">
        <v>134.29</v>
      </c>
      <c r="E277" s="3024">
        <v>84.35</v>
      </c>
      <c r="F277" s="3024"/>
      <c r="G277" s="3024">
        <f t="shared" si="12"/>
        <v>218.64</v>
      </c>
      <c r="H277" s="3024"/>
      <c r="I277" s="3024"/>
      <c r="J277" s="3024">
        <f>J274</f>
        <v>108.67</v>
      </c>
      <c r="K277" s="3024">
        <f t="shared" si="3"/>
        <v>109.96999999999998</v>
      </c>
      <c r="L277" s="3024">
        <f t="shared" si="13"/>
        <v>218.64</v>
      </c>
      <c r="M277" s="3024"/>
    </row>
    <row r="278" spans="1:13">
      <c r="A278" s="3024"/>
      <c r="B278" s="3024"/>
      <c r="C278" s="3024">
        <v>105</v>
      </c>
      <c r="D278" s="3024">
        <v>134.28</v>
      </c>
      <c r="E278" s="3024">
        <v>84.49</v>
      </c>
      <c r="F278" s="3024"/>
      <c r="G278" s="3024">
        <f t="shared" si="12"/>
        <v>218.76999999999998</v>
      </c>
      <c r="H278" s="3024"/>
      <c r="I278" s="3024"/>
      <c r="J278" s="3024">
        <f>J274</f>
        <v>108.67</v>
      </c>
      <c r="K278" s="3024">
        <f t="shared" si="3"/>
        <v>110.09999999999998</v>
      </c>
      <c r="L278" s="3024">
        <f t="shared" si="13"/>
        <v>218.76999999999998</v>
      </c>
      <c r="M278" s="3024"/>
    </row>
    <row r="279" spans="1:13">
      <c r="A279" s="3024"/>
      <c r="B279" s="3024"/>
      <c r="C279" s="3024">
        <v>106</v>
      </c>
      <c r="D279" s="3024">
        <v>134.47</v>
      </c>
      <c r="E279" s="3024">
        <v>84.77</v>
      </c>
      <c r="F279" s="3024"/>
      <c r="G279" s="3024">
        <f t="shared" si="12"/>
        <v>219.24</v>
      </c>
      <c r="H279" s="3024"/>
      <c r="I279" s="3024"/>
      <c r="J279" s="3024">
        <f>J255</f>
        <v>108.66</v>
      </c>
      <c r="K279" s="3024">
        <f t="shared" si="3"/>
        <v>110.58000000000001</v>
      </c>
      <c r="L279" s="3024">
        <f t="shared" si="13"/>
        <v>219.24</v>
      </c>
      <c r="M279" s="3024"/>
    </row>
    <row r="280" spans="1:13">
      <c r="A280" s="3024" t="s">
        <v>3106</v>
      </c>
      <c r="B280" s="3024">
        <v>6</v>
      </c>
      <c r="C280" s="3024">
        <v>-201</v>
      </c>
      <c r="D280" s="3024"/>
      <c r="E280" s="3024">
        <v>83.44</v>
      </c>
      <c r="F280" s="3024"/>
      <c r="G280" s="3024">
        <f t="shared" si="2"/>
        <v>83.44</v>
      </c>
      <c r="H280" s="3024">
        <f>SUM(G280:G291)</f>
        <v>1816.3200000000002</v>
      </c>
      <c r="I280" s="3024"/>
      <c r="J280" s="3024"/>
      <c r="K280" s="3024">
        <f t="shared" si="3"/>
        <v>83.44</v>
      </c>
      <c r="L280" s="3024">
        <f t="shared" si="13"/>
        <v>83.44</v>
      </c>
      <c r="M280" s="3024"/>
    </row>
    <row r="281" spans="1:13">
      <c r="A281" s="3024"/>
      <c r="B281" s="3024"/>
      <c r="C281" s="3024">
        <v>-202</v>
      </c>
      <c r="D281" s="3024"/>
      <c r="E281" s="3024">
        <v>84.16</v>
      </c>
      <c r="F281" s="3024"/>
      <c r="G281" s="3024">
        <f t="shared" ref="G281:G291" si="14">SUM(D281:F281)</f>
        <v>84.16</v>
      </c>
      <c r="H281" s="3024"/>
      <c r="I281" s="3024"/>
      <c r="J281" s="3024"/>
      <c r="K281" s="3024">
        <f t="shared" si="3"/>
        <v>84.16</v>
      </c>
      <c r="L281" s="3024">
        <f t="shared" si="13"/>
        <v>84.16</v>
      </c>
      <c r="M281" s="3024"/>
    </row>
    <row r="282" spans="1:13">
      <c r="A282" s="3024"/>
      <c r="B282" s="3024"/>
      <c r="C282" s="3024">
        <v>-203</v>
      </c>
      <c r="D282" s="3024"/>
      <c r="E282" s="3024">
        <v>84.16</v>
      </c>
      <c r="F282" s="3024"/>
      <c r="G282" s="3024">
        <f t="shared" si="14"/>
        <v>84.16</v>
      </c>
      <c r="H282" s="3024"/>
      <c r="I282" s="3024"/>
      <c r="J282" s="3024"/>
      <c r="K282" s="3024">
        <f t="shared" si="3"/>
        <v>84.16</v>
      </c>
      <c r="L282" s="3024">
        <f t="shared" si="13"/>
        <v>84.16</v>
      </c>
      <c r="M282" s="3024"/>
    </row>
    <row r="283" spans="1:13">
      <c r="A283" s="3024"/>
      <c r="B283" s="3024"/>
      <c r="C283" s="3024">
        <v>-204</v>
      </c>
      <c r="D283" s="3024"/>
      <c r="E283" s="3024">
        <v>83.44</v>
      </c>
      <c r="F283" s="3024"/>
      <c r="G283" s="3024">
        <f t="shared" si="14"/>
        <v>83.44</v>
      </c>
      <c r="H283" s="3024"/>
      <c r="I283" s="3024"/>
      <c r="J283" s="3024"/>
      <c r="K283" s="3024">
        <f t="shared" si="3"/>
        <v>83.44</v>
      </c>
      <c r="L283" s="3024">
        <f t="shared" si="13"/>
        <v>83.44</v>
      </c>
      <c r="M283" s="3024"/>
    </row>
    <row r="284" spans="1:13">
      <c r="A284" s="3024"/>
      <c r="B284" s="3024"/>
      <c r="C284" s="3024">
        <v>-205</v>
      </c>
      <c r="D284" s="3024"/>
      <c r="E284" s="3024">
        <v>84.16</v>
      </c>
      <c r="F284" s="3024"/>
      <c r="G284" s="3024">
        <f t="shared" si="14"/>
        <v>84.16</v>
      </c>
      <c r="H284" s="3024"/>
      <c r="I284" s="3024"/>
      <c r="J284" s="3024"/>
      <c r="K284" s="3024">
        <f t="shared" si="3"/>
        <v>84.16</v>
      </c>
      <c r="L284" s="3024">
        <f t="shared" si="13"/>
        <v>84.16</v>
      </c>
      <c r="M284" s="3024"/>
    </row>
    <row r="285" spans="1:13">
      <c r="A285" s="3024"/>
      <c r="B285" s="3024"/>
      <c r="C285" s="3024">
        <v>-206</v>
      </c>
      <c r="D285" s="3024"/>
      <c r="E285" s="3024">
        <v>84.16</v>
      </c>
      <c r="F285" s="3024"/>
      <c r="G285" s="3024">
        <f t="shared" si="14"/>
        <v>84.16</v>
      </c>
      <c r="H285" s="3024"/>
      <c r="I285" s="3024"/>
      <c r="J285" s="3024"/>
      <c r="K285" s="3024">
        <f t="shared" si="3"/>
        <v>84.16</v>
      </c>
      <c r="L285" s="3024">
        <f t="shared" si="13"/>
        <v>84.16</v>
      </c>
      <c r="M285" s="3024"/>
    </row>
    <row r="286" spans="1:13">
      <c r="A286" s="3024"/>
      <c r="B286" s="3024"/>
      <c r="C286" s="3024">
        <v>101</v>
      </c>
      <c r="D286" s="3024">
        <v>134.22999999999999</v>
      </c>
      <c r="E286" s="3024">
        <v>84.32</v>
      </c>
      <c r="F286" s="3024"/>
      <c r="G286" s="3024">
        <f t="shared" si="14"/>
        <v>218.54999999999998</v>
      </c>
      <c r="H286" s="3024"/>
      <c r="I286" s="3024"/>
      <c r="J286" s="3024">
        <f>J274</f>
        <v>108.67</v>
      </c>
      <c r="K286" s="3024">
        <f t="shared" si="3"/>
        <v>109.87999999999998</v>
      </c>
      <c r="L286" s="3024">
        <f t="shared" si="13"/>
        <v>218.54999999999998</v>
      </c>
      <c r="M286" s="3024">
        <f>J286+J287+J288+J289+J290+J291</f>
        <v>652.01</v>
      </c>
    </row>
    <row r="287" spans="1:13">
      <c r="A287" s="3024"/>
      <c r="B287" s="3024"/>
      <c r="C287" s="3024">
        <v>102</v>
      </c>
      <c r="D287" s="3024">
        <v>134.22999999999999</v>
      </c>
      <c r="E287" s="3024">
        <v>84.46</v>
      </c>
      <c r="F287" s="3024"/>
      <c r="G287" s="3024">
        <f t="shared" si="14"/>
        <v>218.69</v>
      </c>
      <c r="H287" s="3024"/>
      <c r="I287" s="3024"/>
      <c r="J287" s="3024">
        <f>J286</f>
        <v>108.67</v>
      </c>
      <c r="K287" s="3024">
        <f t="shared" si="3"/>
        <v>110.02</v>
      </c>
      <c r="L287" s="3024">
        <f t="shared" si="13"/>
        <v>218.69</v>
      </c>
      <c r="M287" s="3024"/>
    </row>
    <row r="288" spans="1:13">
      <c r="A288" s="3024"/>
      <c r="B288" s="3024"/>
      <c r="C288" s="3024">
        <v>103</v>
      </c>
      <c r="D288" s="3024">
        <v>134.43</v>
      </c>
      <c r="E288" s="3024">
        <v>84.73</v>
      </c>
      <c r="F288" s="3024"/>
      <c r="G288" s="3024">
        <f t="shared" si="14"/>
        <v>219.16000000000003</v>
      </c>
      <c r="H288" s="3024"/>
      <c r="I288" s="3024"/>
      <c r="J288" s="3024">
        <f>J286</f>
        <v>108.67</v>
      </c>
      <c r="K288" s="3024">
        <f t="shared" si="3"/>
        <v>110.49000000000002</v>
      </c>
      <c r="L288" s="3024">
        <f t="shared" si="13"/>
        <v>219.16000000000003</v>
      </c>
      <c r="M288" s="3024"/>
    </row>
    <row r="289" spans="1:13">
      <c r="A289" s="3024"/>
      <c r="B289" s="3024"/>
      <c r="C289" s="3024">
        <v>104</v>
      </c>
      <c r="D289" s="3024">
        <v>134.22999999999999</v>
      </c>
      <c r="E289" s="3024">
        <v>84.32</v>
      </c>
      <c r="F289" s="3024"/>
      <c r="G289" s="3024">
        <f t="shared" si="14"/>
        <v>218.54999999999998</v>
      </c>
      <c r="H289" s="3024"/>
      <c r="I289" s="3024"/>
      <c r="J289" s="3024">
        <f>J286</f>
        <v>108.67</v>
      </c>
      <c r="K289" s="3024">
        <f t="shared" si="3"/>
        <v>109.87999999999998</v>
      </c>
      <c r="L289" s="3024">
        <f t="shared" si="13"/>
        <v>218.54999999999998</v>
      </c>
      <c r="M289" s="3024"/>
    </row>
    <row r="290" spans="1:13">
      <c r="A290" s="3024"/>
      <c r="B290" s="3024"/>
      <c r="C290" s="3024">
        <v>105</v>
      </c>
      <c r="D290" s="3024">
        <v>134.22999999999999</v>
      </c>
      <c r="E290" s="3024">
        <v>84.46</v>
      </c>
      <c r="F290" s="3024"/>
      <c r="G290" s="3024">
        <f t="shared" si="14"/>
        <v>218.69</v>
      </c>
      <c r="H290" s="3024"/>
      <c r="I290" s="3024"/>
      <c r="J290" s="3024">
        <f>J286</f>
        <v>108.67</v>
      </c>
      <c r="K290" s="3024">
        <f t="shared" si="3"/>
        <v>110.02</v>
      </c>
      <c r="L290" s="3024">
        <f t="shared" si="13"/>
        <v>218.69</v>
      </c>
      <c r="M290" s="3024"/>
    </row>
    <row r="291" spans="1:13">
      <c r="A291" s="3024"/>
      <c r="B291" s="3024"/>
      <c r="C291" s="3024">
        <v>106</v>
      </c>
      <c r="D291" s="3024">
        <v>134.43</v>
      </c>
      <c r="E291" s="3024">
        <v>84.73</v>
      </c>
      <c r="F291" s="3024"/>
      <c r="G291" s="3024">
        <f t="shared" si="14"/>
        <v>219.16000000000003</v>
      </c>
      <c r="H291" s="3024"/>
      <c r="I291" s="3024"/>
      <c r="J291" s="3024">
        <f>J279</f>
        <v>108.66</v>
      </c>
      <c r="K291" s="3024">
        <f t="shared" si="3"/>
        <v>110.50000000000003</v>
      </c>
      <c r="L291" s="3024">
        <f t="shared" si="13"/>
        <v>219.16000000000003</v>
      </c>
      <c r="M291" s="3024"/>
    </row>
    <row r="292" spans="1:13">
      <c r="A292" s="3024" t="s">
        <v>3070</v>
      </c>
      <c r="B292" s="3024">
        <v>6</v>
      </c>
      <c r="C292" s="3024">
        <v>-201</v>
      </c>
      <c r="D292" s="3024"/>
      <c r="E292" s="3024">
        <v>83.44</v>
      </c>
      <c r="F292" s="3024"/>
      <c r="G292" s="3024">
        <f>SUM(D292:F292)</f>
        <v>83.44</v>
      </c>
      <c r="H292" s="3024">
        <f>SUM(G292:G303)</f>
        <v>1816.0399999999997</v>
      </c>
      <c r="I292" s="3024"/>
      <c r="J292" s="3024"/>
      <c r="K292" s="3024">
        <f t="shared" si="3"/>
        <v>83.44</v>
      </c>
      <c r="L292" s="3024">
        <f t="shared" si="13"/>
        <v>83.44</v>
      </c>
      <c r="M292" s="3024"/>
    </row>
    <row r="293" spans="1:13">
      <c r="A293" s="3024"/>
      <c r="B293" s="3024"/>
      <c r="C293" s="3024">
        <v>-202</v>
      </c>
      <c r="D293" s="3024"/>
      <c r="E293" s="3024">
        <v>84.16</v>
      </c>
      <c r="F293" s="3024"/>
      <c r="G293" s="3024">
        <f t="shared" ref="G293:G303" si="15">SUM(D293:F293)</f>
        <v>84.16</v>
      </c>
      <c r="H293" s="3024"/>
      <c r="I293" s="3024"/>
      <c r="J293" s="3024"/>
      <c r="K293" s="3024">
        <f t="shared" si="3"/>
        <v>84.16</v>
      </c>
      <c r="L293" s="3024">
        <f t="shared" si="13"/>
        <v>84.16</v>
      </c>
      <c r="M293" s="3024"/>
    </row>
    <row r="294" spans="1:13">
      <c r="A294" s="3024"/>
      <c r="B294" s="3024"/>
      <c r="C294" s="3024">
        <v>-203</v>
      </c>
      <c r="D294" s="3024"/>
      <c r="E294" s="3024">
        <v>84.16</v>
      </c>
      <c r="F294" s="3024"/>
      <c r="G294" s="3024">
        <f t="shared" si="15"/>
        <v>84.16</v>
      </c>
      <c r="H294" s="3024"/>
      <c r="I294" s="3024"/>
      <c r="J294" s="3024"/>
      <c r="K294" s="3024">
        <f t="shared" si="3"/>
        <v>84.16</v>
      </c>
      <c r="L294" s="3024">
        <f t="shared" si="13"/>
        <v>84.16</v>
      </c>
      <c r="M294" s="3024"/>
    </row>
    <row r="295" spans="1:13">
      <c r="A295" s="3024"/>
      <c r="B295" s="3024"/>
      <c r="C295" s="3024">
        <v>-204</v>
      </c>
      <c r="D295" s="3024"/>
      <c r="E295" s="3024">
        <v>83.44</v>
      </c>
      <c r="F295" s="3024"/>
      <c r="G295" s="3024">
        <f t="shared" si="15"/>
        <v>83.44</v>
      </c>
      <c r="H295" s="3024"/>
      <c r="I295" s="3024"/>
      <c r="J295" s="3024"/>
      <c r="K295" s="3024">
        <f t="shared" si="3"/>
        <v>83.44</v>
      </c>
      <c r="L295" s="3024">
        <f t="shared" si="13"/>
        <v>83.44</v>
      </c>
      <c r="M295" s="3024"/>
    </row>
    <row r="296" spans="1:13">
      <c r="A296" s="3024"/>
      <c r="B296" s="3024"/>
      <c r="C296" s="3024">
        <v>-205</v>
      </c>
      <c r="D296" s="3024"/>
      <c r="E296" s="3024">
        <v>84.16</v>
      </c>
      <c r="F296" s="3024"/>
      <c r="G296" s="3024">
        <f t="shared" si="15"/>
        <v>84.16</v>
      </c>
      <c r="H296" s="3024"/>
      <c r="I296" s="3024"/>
      <c r="J296" s="3024"/>
      <c r="K296" s="3024">
        <f t="shared" ref="K296:K359" si="16">G296-J296</f>
        <v>84.16</v>
      </c>
      <c r="L296" s="3024">
        <f t="shared" si="13"/>
        <v>84.16</v>
      </c>
      <c r="M296" s="3024"/>
    </row>
    <row r="297" spans="1:13">
      <c r="A297" s="3024"/>
      <c r="B297" s="3024"/>
      <c r="C297" s="3024">
        <v>-206</v>
      </c>
      <c r="D297" s="3024"/>
      <c r="E297" s="3024">
        <v>84.16</v>
      </c>
      <c r="F297" s="3024"/>
      <c r="G297" s="3024">
        <f t="shared" si="15"/>
        <v>84.16</v>
      </c>
      <c r="H297" s="3024"/>
      <c r="I297" s="3024"/>
      <c r="J297" s="3024"/>
      <c r="K297" s="3024">
        <f t="shared" si="16"/>
        <v>84.16</v>
      </c>
      <c r="L297" s="3024">
        <f t="shared" si="13"/>
        <v>84.16</v>
      </c>
      <c r="M297" s="3024"/>
    </row>
    <row r="298" spans="1:13">
      <c r="A298" s="3024"/>
      <c r="B298" s="3024"/>
      <c r="C298" s="3024">
        <v>101</v>
      </c>
      <c r="D298" s="3024">
        <v>134.19999999999999</v>
      </c>
      <c r="E298" s="3024">
        <v>84.31</v>
      </c>
      <c r="F298" s="3024"/>
      <c r="G298" s="3024">
        <f t="shared" si="15"/>
        <v>218.51</v>
      </c>
      <c r="H298" s="3024"/>
      <c r="I298" s="3024"/>
      <c r="J298" s="3024">
        <f>J286</f>
        <v>108.67</v>
      </c>
      <c r="K298" s="3024">
        <f t="shared" si="16"/>
        <v>109.83999999999999</v>
      </c>
      <c r="L298" s="3024">
        <f t="shared" si="13"/>
        <v>218.51</v>
      </c>
      <c r="M298" s="3024">
        <f>J298+J299+J300+J301+J302+J303</f>
        <v>652.01</v>
      </c>
    </row>
    <row r="299" spans="1:13">
      <c r="A299" s="3024"/>
      <c r="B299" s="3024"/>
      <c r="C299" s="3024">
        <v>102</v>
      </c>
      <c r="D299" s="3024">
        <v>134.19999999999999</v>
      </c>
      <c r="E299" s="3024">
        <v>84.44</v>
      </c>
      <c r="F299" s="3024"/>
      <c r="G299" s="3024">
        <f t="shared" si="15"/>
        <v>218.64</v>
      </c>
      <c r="H299" s="3024"/>
      <c r="I299" s="3024"/>
      <c r="J299" s="3024">
        <f>J298</f>
        <v>108.67</v>
      </c>
      <c r="K299" s="3024">
        <f t="shared" si="16"/>
        <v>109.96999999999998</v>
      </c>
      <c r="L299" s="3024">
        <f t="shared" si="13"/>
        <v>218.64</v>
      </c>
      <c r="M299" s="3024"/>
    </row>
    <row r="300" spans="1:13">
      <c r="A300" s="3024"/>
      <c r="B300" s="3024"/>
      <c r="C300" s="3024">
        <v>103</v>
      </c>
      <c r="D300" s="3024">
        <v>134.38999999999999</v>
      </c>
      <c r="E300" s="3024">
        <v>84.72</v>
      </c>
      <c r="F300" s="3024"/>
      <c r="G300" s="3024">
        <f t="shared" si="15"/>
        <v>219.10999999999999</v>
      </c>
      <c r="H300" s="3024"/>
      <c r="I300" s="3024"/>
      <c r="J300" s="3024">
        <f>J298</f>
        <v>108.67</v>
      </c>
      <c r="K300" s="3024">
        <f t="shared" si="16"/>
        <v>110.43999999999998</v>
      </c>
      <c r="L300" s="3024">
        <f t="shared" si="13"/>
        <v>219.10999999999999</v>
      </c>
      <c r="M300" s="3024"/>
    </row>
    <row r="301" spans="1:13">
      <c r="A301" s="3024"/>
      <c r="B301" s="3024"/>
      <c r="C301" s="3024">
        <v>104</v>
      </c>
      <c r="D301" s="3024">
        <v>134.19999999999999</v>
      </c>
      <c r="E301" s="3024">
        <v>84.31</v>
      </c>
      <c r="F301" s="3024"/>
      <c r="G301" s="3024">
        <f t="shared" si="15"/>
        <v>218.51</v>
      </c>
      <c r="H301" s="3024"/>
      <c r="I301" s="3024"/>
      <c r="J301" s="3024">
        <f>J298</f>
        <v>108.67</v>
      </c>
      <c r="K301" s="3024">
        <f t="shared" si="16"/>
        <v>109.83999999999999</v>
      </c>
      <c r="L301" s="3024">
        <f t="shared" si="13"/>
        <v>218.51</v>
      </c>
      <c r="M301" s="3024"/>
    </row>
    <row r="302" spans="1:13">
      <c r="A302" s="3024"/>
      <c r="B302" s="3024"/>
      <c r="C302" s="3024">
        <v>105</v>
      </c>
      <c r="D302" s="3024">
        <v>134.19999999999999</v>
      </c>
      <c r="E302" s="3024">
        <v>84.44</v>
      </c>
      <c r="F302" s="3024"/>
      <c r="G302" s="3024">
        <f t="shared" si="15"/>
        <v>218.64</v>
      </c>
      <c r="H302" s="3024"/>
      <c r="I302" s="3024"/>
      <c r="J302" s="3024">
        <f>J298</f>
        <v>108.67</v>
      </c>
      <c r="K302" s="3024">
        <f t="shared" si="16"/>
        <v>109.96999999999998</v>
      </c>
      <c r="L302" s="3024">
        <f t="shared" si="13"/>
        <v>218.64</v>
      </c>
      <c r="M302" s="3024"/>
    </row>
    <row r="303" spans="1:13">
      <c r="A303" s="3024"/>
      <c r="B303" s="3024"/>
      <c r="C303" s="3024">
        <v>106</v>
      </c>
      <c r="D303" s="3024">
        <v>134.38999999999999</v>
      </c>
      <c r="E303" s="3024">
        <v>84.72</v>
      </c>
      <c r="F303" s="3024"/>
      <c r="G303" s="3024">
        <f t="shared" si="15"/>
        <v>219.10999999999999</v>
      </c>
      <c r="H303" s="3024"/>
      <c r="I303" s="3024"/>
      <c r="J303" s="3024">
        <f>J291</f>
        <v>108.66</v>
      </c>
      <c r="K303" s="3024">
        <f t="shared" si="16"/>
        <v>110.44999999999999</v>
      </c>
      <c r="L303" s="3024">
        <f t="shared" si="13"/>
        <v>219.10999999999999</v>
      </c>
      <c r="M303" s="3024"/>
    </row>
    <row r="304" spans="1:13">
      <c r="A304" s="3024" t="s">
        <v>3107</v>
      </c>
      <c r="B304" s="3024">
        <v>5</v>
      </c>
      <c r="C304" s="3024">
        <v>-201</v>
      </c>
      <c r="D304" s="3024"/>
      <c r="E304" s="3024">
        <v>84.26</v>
      </c>
      <c r="F304" s="3024"/>
      <c r="G304" s="3024">
        <f t="shared" si="2"/>
        <v>84.26</v>
      </c>
      <c r="H304" s="3024">
        <f>SUM(G304:G313)</f>
        <v>1525.08</v>
      </c>
      <c r="I304" s="3024"/>
      <c r="J304" s="3024"/>
      <c r="K304" s="3024">
        <f t="shared" si="16"/>
        <v>84.26</v>
      </c>
      <c r="L304" s="3024">
        <f t="shared" si="13"/>
        <v>84.26</v>
      </c>
      <c r="M304" s="3024"/>
    </row>
    <row r="305" spans="1:13">
      <c r="A305" s="3024"/>
      <c r="B305" s="3024"/>
      <c r="C305" s="3024">
        <v>-202</v>
      </c>
      <c r="D305" s="3024"/>
      <c r="E305" s="3024">
        <v>84.31</v>
      </c>
      <c r="F305" s="3024"/>
      <c r="G305" s="3024">
        <f t="shared" ref="G305:G313" si="17">SUM(D305:F305)</f>
        <v>84.31</v>
      </c>
      <c r="H305" s="3024"/>
      <c r="I305" s="3024"/>
      <c r="J305" s="3024"/>
      <c r="K305" s="3024">
        <f t="shared" si="16"/>
        <v>84.31</v>
      </c>
      <c r="L305" s="3024">
        <f t="shared" si="13"/>
        <v>84.31</v>
      </c>
      <c r="M305" s="3024"/>
    </row>
    <row r="306" spans="1:13">
      <c r="A306" s="3024"/>
      <c r="B306" s="3024"/>
      <c r="C306" s="3024">
        <v>-203</v>
      </c>
      <c r="D306" s="3024"/>
      <c r="E306" s="3024">
        <v>84.31</v>
      </c>
      <c r="F306" s="3024"/>
      <c r="G306" s="3024">
        <f t="shared" si="17"/>
        <v>84.31</v>
      </c>
      <c r="H306" s="3024"/>
      <c r="I306" s="3024"/>
      <c r="J306" s="3024"/>
      <c r="K306" s="3024">
        <f t="shared" si="16"/>
        <v>84.31</v>
      </c>
      <c r="L306" s="3024">
        <f t="shared" si="13"/>
        <v>84.31</v>
      </c>
      <c r="M306" s="3024"/>
    </row>
    <row r="307" spans="1:13">
      <c r="A307" s="3024"/>
      <c r="B307" s="3024"/>
      <c r="C307" s="3024">
        <v>-204</v>
      </c>
      <c r="D307" s="3024"/>
      <c r="E307" s="3024">
        <v>84.31</v>
      </c>
      <c r="F307" s="3024"/>
      <c r="G307" s="3024">
        <f t="shared" si="17"/>
        <v>84.31</v>
      </c>
      <c r="H307" s="3024"/>
      <c r="I307" s="3024"/>
      <c r="J307" s="3024"/>
      <c r="K307" s="3024">
        <f t="shared" si="16"/>
        <v>84.31</v>
      </c>
      <c r="L307" s="3024">
        <f t="shared" si="13"/>
        <v>84.31</v>
      </c>
      <c r="M307" s="3024"/>
    </row>
    <row r="308" spans="1:13">
      <c r="A308" s="3024"/>
      <c r="B308" s="3024"/>
      <c r="C308" s="3024">
        <v>-205</v>
      </c>
      <c r="D308" s="3024"/>
      <c r="E308" s="3024">
        <v>84.31</v>
      </c>
      <c r="F308" s="3024"/>
      <c r="G308" s="3024">
        <f t="shared" si="17"/>
        <v>84.31</v>
      </c>
      <c r="H308" s="3024"/>
      <c r="I308" s="3024"/>
      <c r="J308" s="3024"/>
      <c r="K308" s="3024">
        <f t="shared" si="16"/>
        <v>84.31</v>
      </c>
      <c r="L308" s="3024">
        <f t="shared" si="13"/>
        <v>84.31</v>
      </c>
      <c r="M308" s="3024"/>
    </row>
    <row r="309" spans="1:13">
      <c r="A309" s="3024"/>
      <c r="B309" s="3024"/>
      <c r="C309" s="3024">
        <v>101</v>
      </c>
      <c r="D309" s="3024">
        <v>136.66999999999999</v>
      </c>
      <c r="E309" s="3024">
        <v>85.49</v>
      </c>
      <c r="F309" s="3024"/>
      <c r="G309" s="3024">
        <f t="shared" si="17"/>
        <v>222.15999999999997</v>
      </c>
      <c r="H309" s="3024"/>
      <c r="I309" s="3024"/>
      <c r="J309" s="3024">
        <f>ROUND(547.61/5,2)</f>
        <v>109.52</v>
      </c>
      <c r="K309" s="3024">
        <f t="shared" si="16"/>
        <v>112.63999999999997</v>
      </c>
      <c r="L309" s="3024">
        <f t="shared" si="13"/>
        <v>222.15999999999997</v>
      </c>
      <c r="M309" s="3024">
        <f>J309+J310+J311+J312+J313</f>
        <v>547.61</v>
      </c>
    </row>
    <row r="310" spans="1:13">
      <c r="A310" s="3024"/>
      <c r="B310" s="3024"/>
      <c r="C310" s="3024">
        <v>102</v>
      </c>
      <c r="D310" s="3024">
        <v>135.05000000000001</v>
      </c>
      <c r="E310" s="3024">
        <v>85.04</v>
      </c>
      <c r="F310" s="3024"/>
      <c r="G310" s="3024">
        <f t="shared" si="17"/>
        <v>220.09000000000003</v>
      </c>
      <c r="H310" s="3024"/>
      <c r="I310" s="3024"/>
      <c r="J310" s="3024">
        <f>J309</f>
        <v>109.52</v>
      </c>
      <c r="K310" s="3024">
        <f t="shared" si="16"/>
        <v>110.57000000000004</v>
      </c>
      <c r="L310" s="3024">
        <f t="shared" si="13"/>
        <v>220.09000000000003</v>
      </c>
      <c r="M310" s="3024"/>
    </row>
    <row r="311" spans="1:13">
      <c r="A311" s="3024"/>
      <c r="B311" s="3024"/>
      <c r="C311" s="3024">
        <v>103</v>
      </c>
      <c r="D311" s="3024">
        <v>135.25</v>
      </c>
      <c r="E311" s="3024">
        <v>85.37</v>
      </c>
      <c r="F311" s="3024"/>
      <c r="G311" s="3024">
        <f t="shared" si="17"/>
        <v>220.62</v>
      </c>
      <c r="H311" s="3024"/>
      <c r="I311" s="3024"/>
      <c r="J311" s="3024">
        <f>J309</f>
        <v>109.52</v>
      </c>
      <c r="K311" s="3024">
        <f t="shared" si="16"/>
        <v>111.10000000000001</v>
      </c>
      <c r="L311" s="3024">
        <f t="shared" si="13"/>
        <v>220.62</v>
      </c>
      <c r="M311" s="3024"/>
    </row>
    <row r="312" spans="1:13">
      <c r="A312" s="3024"/>
      <c r="B312" s="3024"/>
      <c r="C312" s="3024">
        <v>104</v>
      </c>
      <c r="D312" s="3024">
        <v>135.05000000000001</v>
      </c>
      <c r="E312" s="3024">
        <v>85.04</v>
      </c>
      <c r="F312" s="3024"/>
      <c r="G312" s="3024">
        <f t="shared" si="17"/>
        <v>220.09000000000003</v>
      </c>
      <c r="H312" s="3024"/>
      <c r="I312" s="3024"/>
      <c r="J312" s="3024">
        <f>J309</f>
        <v>109.52</v>
      </c>
      <c r="K312" s="3024">
        <f t="shared" si="16"/>
        <v>110.57000000000004</v>
      </c>
      <c r="L312" s="3024">
        <f t="shared" si="13"/>
        <v>220.09000000000003</v>
      </c>
      <c r="M312" s="3024"/>
    </row>
    <row r="313" spans="1:13">
      <c r="A313" s="3024"/>
      <c r="B313" s="3024"/>
      <c r="C313" s="3024">
        <v>105</v>
      </c>
      <c r="D313" s="3024">
        <v>135.25</v>
      </c>
      <c r="E313" s="3024">
        <v>85.37</v>
      </c>
      <c r="F313" s="3024"/>
      <c r="G313" s="3024">
        <f t="shared" si="17"/>
        <v>220.62</v>
      </c>
      <c r="H313" s="3024"/>
      <c r="I313" s="3024"/>
      <c r="J313" s="3024">
        <f>547.61-J309-J310-J311-J312</f>
        <v>109.53000000000007</v>
      </c>
      <c r="K313" s="3024">
        <f t="shared" si="16"/>
        <v>111.08999999999993</v>
      </c>
      <c r="L313" s="3024">
        <f t="shared" si="13"/>
        <v>220.62</v>
      </c>
      <c r="M313" s="3024"/>
    </row>
    <row r="314" spans="1:13">
      <c r="A314" s="3024" t="s">
        <v>3108</v>
      </c>
      <c r="B314" s="3024">
        <v>5</v>
      </c>
      <c r="C314" s="3024">
        <v>-201</v>
      </c>
      <c r="D314" s="3024"/>
      <c r="E314" s="3024">
        <v>83.62</v>
      </c>
      <c r="F314" s="3024"/>
      <c r="G314" s="3024">
        <f t="shared" si="2"/>
        <v>83.62</v>
      </c>
      <c r="H314" s="3024">
        <f>SUM(G314:G323)</f>
        <v>1523.29</v>
      </c>
      <c r="I314" s="3024"/>
      <c r="J314" s="3024"/>
      <c r="K314" s="3024">
        <f t="shared" si="16"/>
        <v>83.62</v>
      </c>
      <c r="L314" s="3024">
        <f t="shared" si="13"/>
        <v>83.62</v>
      </c>
      <c r="M314" s="3024"/>
    </row>
    <row r="315" spans="1:13">
      <c r="A315" s="3024"/>
      <c r="B315" s="3024"/>
      <c r="C315" s="3024">
        <v>-202</v>
      </c>
      <c r="D315" s="3024"/>
      <c r="E315" s="3024">
        <v>84.35</v>
      </c>
      <c r="F315" s="3024"/>
      <c r="G315" s="3024">
        <f t="shared" ref="G315:G323" si="18">SUM(D315:F315)</f>
        <v>84.35</v>
      </c>
      <c r="H315" s="3024"/>
      <c r="I315" s="3024"/>
      <c r="J315" s="3024"/>
      <c r="K315" s="3024">
        <f t="shared" si="16"/>
        <v>84.35</v>
      </c>
      <c r="L315" s="3024">
        <f t="shared" si="13"/>
        <v>84.35</v>
      </c>
      <c r="M315" s="3024"/>
    </row>
    <row r="316" spans="1:13">
      <c r="A316" s="3024"/>
      <c r="B316" s="3024"/>
      <c r="C316" s="3024">
        <v>-203</v>
      </c>
      <c r="D316" s="3024"/>
      <c r="E316" s="3024">
        <v>83.62</v>
      </c>
      <c r="F316" s="3024"/>
      <c r="G316" s="3024">
        <f t="shared" si="18"/>
        <v>83.62</v>
      </c>
      <c r="H316" s="3024"/>
      <c r="I316" s="3024"/>
      <c r="J316" s="3024"/>
      <c r="K316" s="3024">
        <f t="shared" si="16"/>
        <v>83.62</v>
      </c>
      <c r="L316" s="3024">
        <f t="shared" si="13"/>
        <v>83.62</v>
      </c>
      <c r="M316" s="3024"/>
    </row>
    <row r="317" spans="1:13">
      <c r="A317" s="3024"/>
      <c r="B317" s="3024"/>
      <c r="C317" s="3024">
        <v>-204</v>
      </c>
      <c r="D317" s="3024"/>
      <c r="E317" s="3024">
        <v>84.35</v>
      </c>
      <c r="F317" s="3024"/>
      <c r="G317" s="3024">
        <f t="shared" si="18"/>
        <v>84.35</v>
      </c>
      <c r="H317" s="3024"/>
      <c r="I317" s="3024"/>
      <c r="J317" s="3024"/>
      <c r="K317" s="3024">
        <f t="shared" si="16"/>
        <v>84.35</v>
      </c>
      <c r="L317" s="3024">
        <f t="shared" si="13"/>
        <v>84.35</v>
      </c>
      <c r="M317" s="3024"/>
    </row>
    <row r="318" spans="1:13">
      <c r="A318" s="3024"/>
      <c r="B318" s="3024"/>
      <c r="C318" s="3024">
        <v>-205</v>
      </c>
      <c r="D318" s="3024"/>
      <c r="E318" s="3024">
        <v>85.02</v>
      </c>
      <c r="F318" s="3024"/>
      <c r="G318" s="3024">
        <f t="shared" si="18"/>
        <v>85.02</v>
      </c>
      <c r="H318" s="3024"/>
      <c r="I318" s="3024"/>
      <c r="J318" s="3024"/>
      <c r="K318" s="3024">
        <f t="shared" si="16"/>
        <v>85.02</v>
      </c>
      <c r="L318" s="3024">
        <f t="shared" si="13"/>
        <v>85.02</v>
      </c>
      <c r="M318" s="3024"/>
    </row>
    <row r="319" spans="1:13">
      <c r="A319" s="3024"/>
      <c r="B319" s="3024"/>
      <c r="C319" s="3024">
        <v>101</v>
      </c>
      <c r="D319" s="3024">
        <v>134.91999999999999</v>
      </c>
      <c r="E319" s="3024">
        <v>84.82</v>
      </c>
      <c r="F319" s="3024"/>
      <c r="G319" s="3024">
        <f t="shared" si="18"/>
        <v>219.73999999999998</v>
      </c>
      <c r="H319" s="3024"/>
      <c r="I319" s="3024"/>
      <c r="J319" s="3024">
        <f>J309</f>
        <v>109.52</v>
      </c>
      <c r="K319" s="3024">
        <f t="shared" si="16"/>
        <v>110.21999999999998</v>
      </c>
      <c r="L319" s="3024">
        <f t="shared" si="13"/>
        <v>219.73999999999998</v>
      </c>
      <c r="M319" s="3024">
        <f>J319+J320+J321+J322+J323</f>
        <v>547.61</v>
      </c>
    </row>
    <row r="320" spans="1:13">
      <c r="A320" s="3024"/>
      <c r="B320" s="3024"/>
      <c r="C320" s="3024">
        <v>102</v>
      </c>
      <c r="D320" s="3024">
        <v>135.12</v>
      </c>
      <c r="E320" s="3024">
        <v>85.24</v>
      </c>
      <c r="F320" s="3024"/>
      <c r="G320" s="3024">
        <f t="shared" si="18"/>
        <v>220.36</v>
      </c>
      <c r="H320" s="3024"/>
      <c r="I320" s="3024"/>
      <c r="J320" s="3024">
        <f>J319</f>
        <v>109.52</v>
      </c>
      <c r="K320" s="3024">
        <f t="shared" si="16"/>
        <v>110.84000000000002</v>
      </c>
      <c r="L320" s="3024">
        <f t="shared" si="13"/>
        <v>220.36</v>
      </c>
      <c r="M320" s="3024"/>
    </row>
    <row r="321" spans="1:13">
      <c r="A321" s="3024"/>
      <c r="B321" s="3024"/>
      <c r="C321" s="3024">
        <v>103</v>
      </c>
      <c r="D321" s="3024">
        <v>134.91999999999999</v>
      </c>
      <c r="E321" s="3024">
        <v>84.82</v>
      </c>
      <c r="F321" s="3024"/>
      <c r="G321" s="3024">
        <f t="shared" si="18"/>
        <v>219.73999999999998</v>
      </c>
      <c r="H321" s="3024"/>
      <c r="I321" s="3024"/>
      <c r="J321" s="3024">
        <f>J319</f>
        <v>109.52</v>
      </c>
      <c r="K321" s="3024">
        <f t="shared" si="16"/>
        <v>110.21999999999998</v>
      </c>
      <c r="L321" s="3024">
        <f t="shared" si="13"/>
        <v>219.73999999999998</v>
      </c>
      <c r="M321" s="3024"/>
    </row>
    <row r="322" spans="1:13">
      <c r="A322" s="3024"/>
      <c r="B322" s="3024"/>
      <c r="C322" s="3024">
        <v>104</v>
      </c>
      <c r="D322" s="3024">
        <v>134.91999999999999</v>
      </c>
      <c r="E322" s="3024">
        <v>84.95</v>
      </c>
      <c r="F322" s="3024"/>
      <c r="G322" s="3024">
        <f t="shared" si="18"/>
        <v>219.87</v>
      </c>
      <c r="H322" s="3024"/>
      <c r="I322" s="3024"/>
      <c r="J322" s="3024">
        <f>J319</f>
        <v>109.52</v>
      </c>
      <c r="K322" s="3024">
        <f t="shared" si="16"/>
        <v>110.35000000000001</v>
      </c>
      <c r="L322" s="3024">
        <f t="shared" si="13"/>
        <v>219.87</v>
      </c>
      <c r="M322" s="3024"/>
    </row>
    <row r="323" spans="1:13">
      <c r="A323" s="3024"/>
      <c r="B323" s="3024"/>
      <c r="C323" s="3024">
        <v>105</v>
      </c>
      <c r="D323" s="3024">
        <v>136.74</v>
      </c>
      <c r="E323" s="3024">
        <v>85.88</v>
      </c>
      <c r="F323" s="3024"/>
      <c r="G323" s="3024">
        <f t="shared" si="18"/>
        <v>222.62</v>
      </c>
      <c r="H323" s="3024"/>
      <c r="I323" s="3024"/>
      <c r="J323" s="3024">
        <f>J313</f>
        <v>109.53000000000007</v>
      </c>
      <c r="K323" s="3024">
        <f t="shared" si="16"/>
        <v>113.08999999999993</v>
      </c>
      <c r="L323" s="3024">
        <f t="shared" si="13"/>
        <v>222.62</v>
      </c>
      <c r="M323" s="3024"/>
    </row>
    <row r="324" spans="1:13">
      <c r="A324" s="3024" t="s">
        <v>3071</v>
      </c>
      <c r="B324" s="3024">
        <v>6</v>
      </c>
      <c r="C324" s="3024">
        <v>-201</v>
      </c>
      <c r="D324" s="3024"/>
      <c r="E324" s="3024">
        <v>83.43</v>
      </c>
      <c r="F324" s="3024"/>
      <c r="G324" s="3024">
        <f t="shared" si="2"/>
        <v>83.43</v>
      </c>
      <c r="H324" s="3024">
        <f>SUM(G324:G335)</f>
        <v>1815.6799999999998</v>
      </c>
      <c r="I324" s="3024"/>
      <c r="J324" s="3024"/>
      <c r="K324" s="3024">
        <f t="shared" si="16"/>
        <v>83.43</v>
      </c>
      <c r="L324" s="3024">
        <f t="shared" si="13"/>
        <v>83.43</v>
      </c>
      <c r="M324" s="3024"/>
    </row>
    <row r="325" spans="1:13">
      <c r="A325" s="3024"/>
      <c r="B325" s="3024"/>
      <c r="C325" s="3024">
        <v>-202</v>
      </c>
      <c r="D325" s="3024"/>
      <c r="E325" s="3024">
        <v>84.15</v>
      </c>
      <c r="F325" s="3024"/>
      <c r="G325" s="3024">
        <f t="shared" ref="G325:G335" si="19">SUM(D325:F325)</f>
        <v>84.15</v>
      </c>
      <c r="H325" s="3024"/>
      <c r="I325" s="3024"/>
      <c r="J325" s="3024"/>
      <c r="K325" s="3024">
        <f t="shared" si="16"/>
        <v>84.15</v>
      </c>
      <c r="L325" s="3024">
        <f t="shared" si="13"/>
        <v>84.15</v>
      </c>
      <c r="M325" s="3024"/>
    </row>
    <row r="326" spans="1:13">
      <c r="A326" s="3024"/>
      <c r="B326" s="3024"/>
      <c r="C326" s="3024">
        <v>-203</v>
      </c>
      <c r="D326" s="3024"/>
      <c r="E326" s="3024">
        <v>84.15</v>
      </c>
      <c r="F326" s="3024"/>
      <c r="G326" s="3024">
        <f t="shared" si="19"/>
        <v>84.15</v>
      </c>
      <c r="H326" s="3024"/>
      <c r="I326" s="3024"/>
      <c r="J326" s="3024"/>
      <c r="K326" s="3024">
        <f t="shared" si="16"/>
        <v>84.15</v>
      </c>
      <c r="L326" s="3024">
        <f t="shared" si="13"/>
        <v>84.15</v>
      </c>
      <c r="M326" s="3024"/>
    </row>
    <row r="327" spans="1:13">
      <c r="A327" s="3024"/>
      <c r="B327" s="3024"/>
      <c r="C327" s="3024">
        <v>-204</v>
      </c>
      <c r="D327" s="3024"/>
      <c r="E327" s="3024">
        <v>83.43</v>
      </c>
      <c r="F327" s="3024"/>
      <c r="G327" s="3024">
        <f t="shared" si="19"/>
        <v>83.43</v>
      </c>
      <c r="H327" s="3024"/>
      <c r="I327" s="3024"/>
      <c r="J327" s="3024"/>
      <c r="K327" s="3024">
        <f t="shared" si="16"/>
        <v>83.43</v>
      </c>
      <c r="L327" s="3024">
        <f t="shared" si="13"/>
        <v>83.43</v>
      </c>
      <c r="M327" s="3024"/>
    </row>
    <row r="328" spans="1:13">
      <c r="A328" s="3024"/>
      <c r="B328" s="3024"/>
      <c r="C328" s="3024">
        <v>-205</v>
      </c>
      <c r="D328" s="3024"/>
      <c r="E328" s="3024">
        <v>84.15</v>
      </c>
      <c r="F328" s="3024"/>
      <c r="G328" s="3024">
        <f t="shared" si="19"/>
        <v>84.15</v>
      </c>
      <c r="H328" s="3024"/>
      <c r="I328" s="3024"/>
      <c r="J328" s="3024"/>
      <c r="K328" s="3024">
        <f t="shared" si="16"/>
        <v>84.15</v>
      </c>
      <c r="L328" s="3024">
        <f t="shared" si="13"/>
        <v>84.15</v>
      </c>
      <c r="M328" s="3024"/>
    </row>
    <row r="329" spans="1:13">
      <c r="A329" s="3024"/>
      <c r="B329" s="3024"/>
      <c r="C329" s="3024">
        <v>-206</v>
      </c>
      <c r="D329" s="3024"/>
      <c r="E329" s="3024">
        <v>84.15</v>
      </c>
      <c r="F329" s="3024"/>
      <c r="G329" s="3024">
        <f t="shared" si="19"/>
        <v>84.15</v>
      </c>
      <c r="H329" s="3024"/>
      <c r="I329" s="3024"/>
      <c r="J329" s="3024"/>
      <c r="K329" s="3024">
        <f t="shared" si="16"/>
        <v>84.15</v>
      </c>
      <c r="L329" s="3024">
        <f t="shared" si="13"/>
        <v>84.15</v>
      </c>
      <c r="M329" s="3024"/>
    </row>
    <row r="330" spans="1:13">
      <c r="A330" s="3024"/>
      <c r="B330" s="3024"/>
      <c r="C330" s="3024">
        <v>101</v>
      </c>
      <c r="D330" s="3024">
        <v>134.18</v>
      </c>
      <c r="E330" s="3024">
        <v>84.28</v>
      </c>
      <c r="F330" s="3024"/>
      <c r="G330" s="3024">
        <f t="shared" si="19"/>
        <v>218.46</v>
      </c>
      <c r="H330" s="3024"/>
      <c r="I330" s="3024"/>
      <c r="J330" s="3024">
        <f>J298</f>
        <v>108.67</v>
      </c>
      <c r="K330" s="3024">
        <f t="shared" si="16"/>
        <v>109.79</v>
      </c>
      <c r="L330" s="3024">
        <f t="shared" si="13"/>
        <v>218.46</v>
      </c>
      <c r="M330" s="3024">
        <f>J330+J331+J332+J333+J334+J335</f>
        <v>652.01</v>
      </c>
    </row>
    <row r="331" spans="1:13">
      <c r="A331" s="3024"/>
      <c r="B331" s="3024"/>
      <c r="C331" s="3024">
        <v>102</v>
      </c>
      <c r="D331" s="3024">
        <v>134.16999999999999</v>
      </c>
      <c r="E331" s="3024">
        <v>84.42</v>
      </c>
      <c r="F331" s="3024"/>
      <c r="G331" s="3024">
        <f t="shared" si="19"/>
        <v>218.58999999999997</v>
      </c>
      <c r="H331" s="3024"/>
      <c r="I331" s="3024"/>
      <c r="J331" s="3024">
        <f>J330</f>
        <v>108.67</v>
      </c>
      <c r="K331" s="3024">
        <f t="shared" si="16"/>
        <v>109.91999999999997</v>
      </c>
      <c r="L331" s="3024">
        <f t="shared" si="13"/>
        <v>218.58999999999997</v>
      </c>
      <c r="M331" s="3024"/>
    </row>
    <row r="332" spans="1:13">
      <c r="A332" s="3024"/>
      <c r="B332" s="3024"/>
      <c r="C332" s="3024">
        <v>103</v>
      </c>
      <c r="D332" s="3024">
        <v>134.36000000000001</v>
      </c>
      <c r="E332" s="3024">
        <v>84.7</v>
      </c>
      <c r="F332" s="3024"/>
      <c r="G332" s="3024">
        <f t="shared" si="19"/>
        <v>219.06</v>
      </c>
      <c r="H332" s="3024"/>
      <c r="I332" s="3024"/>
      <c r="J332" s="3024">
        <f>J330</f>
        <v>108.67</v>
      </c>
      <c r="K332" s="3024">
        <f t="shared" si="16"/>
        <v>110.39</v>
      </c>
      <c r="L332" s="3024">
        <f t="shared" si="13"/>
        <v>219.06</v>
      </c>
      <c r="M332" s="3024"/>
    </row>
    <row r="333" spans="1:13">
      <c r="A333" s="3024"/>
      <c r="B333" s="3024"/>
      <c r="C333" s="3024">
        <v>104</v>
      </c>
      <c r="D333" s="3024">
        <v>134.18</v>
      </c>
      <c r="E333" s="3024">
        <v>84.28</v>
      </c>
      <c r="F333" s="3024"/>
      <c r="G333" s="3024">
        <f t="shared" si="19"/>
        <v>218.46</v>
      </c>
      <c r="H333" s="3024"/>
      <c r="I333" s="3024"/>
      <c r="J333" s="3024">
        <f>J330</f>
        <v>108.67</v>
      </c>
      <c r="K333" s="3024">
        <f t="shared" si="16"/>
        <v>109.79</v>
      </c>
      <c r="L333" s="3024">
        <f t="shared" si="13"/>
        <v>218.46</v>
      </c>
      <c r="M333" s="3024"/>
    </row>
    <row r="334" spans="1:13">
      <c r="A334" s="3024"/>
      <c r="B334" s="3024"/>
      <c r="C334" s="3024">
        <v>105</v>
      </c>
      <c r="D334" s="3024">
        <v>134.16999999999999</v>
      </c>
      <c r="E334" s="3024">
        <v>84.42</v>
      </c>
      <c r="F334" s="3024"/>
      <c r="G334" s="3024">
        <f t="shared" si="19"/>
        <v>218.58999999999997</v>
      </c>
      <c r="H334" s="3024"/>
      <c r="I334" s="3024"/>
      <c r="J334" s="3024">
        <f>J330</f>
        <v>108.67</v>
      </c>
      <c r="K334" s="3024">
        <f t="shared" si="16"/>
        <v>109.91999999999997</v>
      </c>
      <c r="L334" s="3024">
        <f t="shared" ref="L334:L397" si="20">J334+K334</f>
        <v>218.58999999999997</v>
      </c>
      <c r="M334" s="3024"/>
    </row>
    <row r="335" spans="1:13">
      <c r="A335" s="3024"/>
      <c r="B335" s="3024"/>
      <c r="C335" s="3024">
        <v>106</v>
      </c>
      <c r="D335" s="3024">
        <v>134.36000000000001</v>
      </c>
      <c r="E335" s="3024">
        <v>84.7</v>
      </c>
      <c r="F335" s="3024"/>
      <c r="G335" s="3024">
        <f t="shared" si="19"/>
        <v>219.06</v>
      </c>
      <c r="H335" s="3024"/>
      <c r="I335" s="3024"/>
      <c r="J335" s="3024">
        <f>J303</f>
        <v>108.66</v>
      </c>
      <c r="K335" s="3024">
        <f t="shared" si="16"/>
        <v>110.4</v>
      </c>
      <c r="L335" s="3024">
        <f t="shared" si="20"/>
        <v>219.06</v>
      </c>
      <c r="M335" s="3024"/>
    </row>
    <row r="336" spans="1:13">
      <c r="A336" s="3024" t="s">
        <v>3109</v>
      </c>
      <c r="B336" s="3024">
        <v>6</v>
      </c>
      <c r="C336" s="3024">
        <v>-201</v>
      </c>
      <c r="D336" s="3024"/>
      <c r="E336" s="3024">
        <v>83.43</v>
      </c>
      <c r="F336" s="3024"/>
      <c r="G336" s="3024">
        <f t="shared" si="2"/>
        <v>83.43</v>
      </c>
      <c r="H336" s="3024">
        <f>SUM(G336:G347)</f>
        <v>1815.6799999999998</v>
      </c>
      <c r="I336" s="3024"/>
      <c r="J336" s="3024"/>
      <c r="K336" s="3024">
        <f t="shared" si="16"/>
        <v>83.43</v>
      </c>
      <c r="L336" s="3024">
        <f t="shared" si="20"/>
        <v>83.43</v>
      </c>
      <c r="M336" s="3024"/>
    </row>
    <row r="337" spans="1:13">
      <c r="A337" s="3024"/>
      <c r="B337" s="3024"/>
      <c r="C337" s="3024">
        <v>-202</v>
      </c>
      <c r="D337" s="3024"/>
      <c r="E337" s="3024">
        <v>84.15</v>
      </c>
      <c r="F337" s="3024"/>
      <c r="G337" s="3024">
        <f t="shared" si="2"/>
        <v>84.15</v>
      </c>
      <c r="H337" s="3024"/>
      <c r="I337" s="3024"/>
      <c r="J337" s="3024"/>
      <c r="K337" s="3024">
        <f t="shared" si="16"/>
        <v>84.15</v>
      </c>
      <c r="L337" s="3024">
        <f t="shared" si="20"/>
        <v>84.15</v>
      </c>
      <c r="M337" s="3024"/>
    </row>
    <row r="338" spans="1:13">
      <c r="A338" s="3024"/>
      <c r="B338" s="3024"/>
      <c r="C338" s="3024">
        <v>-203</v>
      </c>
      <c r="D338" s="3024"/>
      <c r="E338" s="3024">
        <v>84.15</v>
      </c>
      <c r="F338" s="3024"/>
      <c r="G338" s="3024">
        <f t="shared" ref="G338:G347" si="21">SUM(D338:F338)</f>
        <v>84.15</v>
      </c>
      <c r="H338" s="3024"/>
      <c r="I338" s="3024"/>
      <c r="J338" s="3024"/>
      <c r="K338" s="3024">
        <f t="shared" si="16"/>
        <v>84.15</v>
      </c>
      <c r="L338" s="3024">
        <f t="shared" si="20"/>
        <v>84.15</v>
      </c>
      <c r="M338" s="3024"/>
    </row>
    <row r="339" spans="1:13">
      <c r="A339" s="3024"/>
      <c r="B339" s="3024"/>
      <c r="C339" s="3024">
        <v>-204</v>
      </c>
      <c r="D339" s="3024"/>
      <c r="E339" s="3024">
        <v>83.43</v>
      </c>
      <c r="F339" s="3024"/>
      <c r="G339" s="3024">
        <f t="shared" si="21"/>
        <v>83.43</v>
      </c>
      <c r="H339" s="3024"/>
      <c r="I339" s="3024"/>
      <c r="J339" s="3024"/>
      <c r="K339" s="3024">
        <f t="shared" si="16"/>
        <v>83.43</v>
      </c>
      <c r="L339" s="3024">
        <f t="shared" si="20"/>
        <v>83.43</v>
      </c>
      <c r="M339" s="3024"/>
    </row>
    <row r="340" spans="1:13">
      <c r="A340" s="3024"/>
      <c r="B340" s="3024"/>
      <c r="C340" s="3024">
        <v>-205</v>
      </c>
      <c r="D340" s="3024"/>
      <c r="E340" s="3024">
        <v>84.15</v>
      </c>
      <c r="F340" s="3024"/>
      <c r="G340" s="3024">
        <f t="shared" si="21"/>
        <v>84.15</v>
      </c>
      <c r="H340" s="3024"/>
      <c r="I340" s="3024"/>
      <c r="J340" s="3024"/>
      <c r="K340" s="3024">
        <f t="shared" si="16"/>
        <v>84.15</v>
      </c>
      <c r="L340" s="3024">
        <f t="shared" si="20"/>
        <v>84.15</v>
      </c>
      <c r="M340" s="3024"/>
    </row>
    <row r="341" spans="1:13">
      <c r="A341" s="3024"/>
      <c r="B341" s="3024"/>
      <c r="C341" s="3024">
        <v>-206</v>
      </c>
      <c r="D341" s="3024"/>
      <c r="E341" s="3024">
        <v>84.15</v>
      </c>
      <c r="F341" s="3024"/>
      <c r="G341" s="3024">
        <f t="shared" si="21"/>
        <v>84.15</v>
      </c>
      <c r="H341" s="3024"/>
      <c r="I341" s="3024"/>
      <c r="J341" s="3024"/>
      <c r="K341" s="3024">
        <f t="shared" si="16"/>
        <v>84.15</v>
      </c>
      <c r="L341" s="3024">
        <f t="shared" si="20"/>
        <v>84.15</v>
      </c>
      <c r="M341" s="3024"/>
    </row>
    <row r="342" spans="1:13">
      <c r="A342" s="3024"/>
      <c r="B342" s="3024"/>
      <c r="C342" s="3024">
        <v>101</v>
      </c>
      <c r="D342" s="3024">
        <v>134.18</v>
      </c>
      <c r="E342" s="3024">
        <v>84.28</v>
      </c>
      <c r="F342" s="3024"/>
      <c r="G342" s="3024">
        <f t="shared" si="21"/>
        <v>218.46</v>
      </c>
      <c r="H342" s="3024"/>
      <c r="I342" s="3024"/>
      <c r="J342" s="3024">
        <f>J330</f>
        <v>108.67</v>
      </c>
      <c r="K342" s="3024">
        <f t="shared" si="16"/>
        <v>109.79</v>
      </c>
      <c r="L342" s="3024">
        <f t="shared" si="20"/>
        <v>218.46</v>
      </c>
      <c r="M342" s="3024">
        <f>J342+J343+J344+J345+J346+J347</f>
        <v>652.01</v>
      </c>
    </row>
    <row r="343" spans="1:13">
      <c r="A343" s="3024"/>
      <c r="B343" s="3024"/>
      <c r="C343" s="3024">
        <v>102</v>
      </c>
      <c r="D343" s="3024">
        <v>134.16999999999999</v>
      </c>
      <c r="E343" s="3024">
        <v>84.42</v>
      </c>
      <c r="F343" s="3024"/>
      <c r="G343" s="3024">
        <f t="shared" si="21"/>
        <v>218.58999999999997</v>
      </c>
      <c r="H343" s="3024"/>
      <c r="I343" s="3024"/>
      <c r="J343" s="3024">
        <f>J342</f>
        <v>108.67</v>
      </c>
      <c r="K343" s="3024">
        <f t="shared" si="16"/>
        <v>109.91999999999997</v>
      </c>
      <c r="L343" s="3024">
        <f t="shared" si="20"/>
        <v>218.58999999999997</v>
      </c>
      <c r="M343" s="3024"/>
    </row>
    <row r="344" spans="1:13">
      <c r="A344" s="3024"/>
      <c r="B344" s="3024"/>
      <c r="C344" s="3024">
        <v>103</v>
      </c>
      <c r="D344" s="3024">
        <v>134.36000000000001</v>
      </c>
      <c r="E344" s="3024">
        <v>84.7</v>
      </c>
      <c r="F344" s="3024"/>
      <c r="G344" s="3024">
        <f t="shared" si="21"/>
        <v>219.06</v>
      </c>
      <c r="H344" s="3024"/>
      <c r="I344" s="3024"/>
      <c r="J344" s="3024">
        <f>J342</f>
        <v>108.67</v>
      </c>
      <c r="K344" s="3024">
        <f t="shared" si="16"/>
        <v>110.39</v>
      </c>
      <c r="L344" s="3024">
        <f t="shared" si="20"/>
        <v>219.06</v>
      </c>
      <c r="M344" s="3024"/>
    </row>
    <row r="345" spans="1:13">
      <c r="A345" s="3024"/>
      <c r="B345" s="3024"/>
      <c r="C345" s="3024">
        <v>104</v>
      </c>
      <c r="D345" s="3024">
        <v>134.18</v>
      </c>
      <c r="E345" s="3024">
        <v>84.28</v>
      </c>
      <c r="F345" s="3024"/>
      <c r="G345" s="3024">
        <f t="shared" si="21"/>
        <v>218.46</v>
      </c>
      <c r="H345" s="3024"/>
      <c r="I345" s="3024"/>
      <c r="J345" s="3024">
        <f>J342</f>
        <v>108.67</v>
      </c>
      <c r="K345" s="3024">
        <f t="shared" si="16"/>
        <v>109.79</v>
      </c>
      <c r="L345" s="3024">
        <f t="shared" si="20"/>
        <v>218.46</v>
      </c>
      <c r="M345" s="3024"/>
    </row>
    <row r="346" spans="1:13">
      <c r="A346" s="3024"/>
      <c r="B346" s="3024"/>
      <c r="C346" s="3024">
        <v>105</v>
      </c>
      <c r="D346" s="3024">
        <v>134.16999999999999</v>
      </c>
      <c r="E346" s="3024">
        <v>84.42</v>
      </c>
      <c r="F346" s="3024"/>
      <c r="G346" s="3024">
        <f t="shared" si="21"/>
        <v>218.58999999999997</v>
      </c>
      <c r="H346" s="3024"/>
      <c r="I346" s="3024"/>
      <c r="J346" s="3024">
        <f>J342</f>
        <v>108.67</v>
      </c>
      <c r="K346" s="3024">
        <f t="shared" si="16"/>
        <v>109.91999999999997</v>
      </c>
      <c r="L346" s="3024">
        <f t="shared" si="20"/>
        <v>218.58999999999997</v>
      </c>
      <c r="M346" s="3024"/>
    </row>
    <row r="347" spans="1:13">
      <c r="A347" s="3024"/>
      <c r="B347" s="3024"/>
      <c r="C347" s="3024">
        <v>106</v>
      </c>
      <c r="D347" s="3024">
        <v>134.36000000000001</v>
      </c>
      <c r="E347" s="3024">
        <v>84.7</v>
      </c>
      <c r="F347" s="3024"/>
      <c r="G347" s="3024">
        <f t="shared" si="21"/>
        <v>219.06</v>
      </c>
      <c r="H347" s="3024"/>
      <c r="I347" s="3024"/>
      <c r="J347" s="3024">
        <f>J335</f>
        <v>108.66</v>
      </c>
      <c r="K347" s="3024">
        <f t="shared" si="16"/>
        <v>110.4</v>
      </c>
      <c r="L347" s="3024">
        <f t="shared" si="20"/>
        <v>219.06</v>
      </c>
      <c r="M347" s="3024"/>
    </row>
    <row r="348" spans="1:13">
      <c r="A348" s="3024" t="s">
        <v>3110</v>
      </c>
      <c r="B348" s="3024">
        <v>6</v>
      </c>
      <c r="C348" s="3024">
        <v>-201</v>
      </c>
      <c r="D348" s="3024"/>
      <c r="E348" s="3024">
        <v>83.46</v>
      </c>
      <c r="F348" s="3024"/>
      <c r="G348" s="3024">
        <f t="shared" si="2"/>
        <v>83.46</v>
      </c>
      <c r="H348" s="3024">
        <f>SUM(G348:G359)</f>
        <v>1817.5199999999998</v>
      </c>
      <c r="I348" s="3024"/>
      <c r="J348" s="3024"/>
      <c r="K348" s="3024">
        <f t="shared" si="16"/>
        <v>83.46</v>
      </c>
      <c r="L348" s="3024">
        <f t="shared" si="20"/>
        <v>83.46</v>
      </c>
      <c r="M348" s="3024"/>
    </row>
    <row r="349" spans="1:13">
      <c r="A349" s="3024"/>
      <c r="B349" s="3024"/>
      <c r="C349" s="3024">
        <v>-202</v>
      </c>
      <c r="D349" s="3024"/>
      <c r="E349" s="3024">
        <v>84.18</v>
      </c>
      <c r="F349" s="3024"/>
      <c r="G349" s="3024">
        <f t="shared" ref="G349:G359" si="22">SUM(D349:F349)</f>
        <v>84.18</v>
      </c>
      <c r="H349" s="3024"/>
      <c r="I349" s="3024"/>
      <c r="J349" s="3024"/>
      <c r="K349" s="3024">
        <f t="shared" si="16"/>
        <v>84.18</v>
      </c>
      <c r="L349" s="3024">
        <f t="shared" si="20"/>
        <v>84.18</v>
      </c>
      <c r="M349" s="3024"/>
    </row>
    <row r="350" spans="1:13">
      <c r="A350" s="3024"/>
      <c r="B350" s="3024"/>
      <c r="C350" s="3024">
        <v>-203</v>
      </c>
      <c r="D350" s="3024"/>
      <c r="E350" s="3024">
        <v>84.18</v>
      </c>
      <c r="F350" s="3024"/>
      <c r="G350" s="3024">
        <f t="shared" si="22"/>
        <v>84.18</v>
      </c>
      <c r="H350" s="3024"/>
      <c r="I350" s="3024"/>
      <c r="J350" s="3024"/>
      <c r="K350" s="3024">
        <f t="shared" si="16"/>
        <v>84.18</v>
      </c>
      <c r="L350" s="3024">
        <f t="shared" si="20"/>
        <v>84.18</v>
      </c>
      <c r="M350" s="3024"/>
    </row>
    <row r="351" spans="1:13">
      <c r="A351" s="3024"/>
      <c r="B351" s="3024"/>
      <c r="C351" s="3024">
        <v>-204</v>
      </c>
      <c r="D351" s="3024"/>
      <c r="E351" s="3024">
        <v>83.46</v>
      </c>
      <c r="F351" s="3024"/>
      <c r="G351" s="3024">
        <f t="shared" si="22"/>
        <v>83.46</v>
      </c>
      <c r="H351" s="3024"/>
      <c r="I351" s="3024"/>
      <c r="J351" s="3024"/>
      <c r="K351" s="3024">
        <f t="shared" si="16"/>
        <v>83.46</v>
      </c>
      <c r="L351" s="3024">
        <f t="shared" si="20"/>
        <v>83.46</v>
      </c>
      <c r="M351" s="3024"/>
    </row>
    <row r="352" spans="1:13">
      <c r="A352" s="3024"/>
      <c r="B352" s="3024"/>
      <c r="C352" s="3024">
        <v>-205</v>
      </c>
      <c r="D352" s="3024"/>
      <c r="E352" s="3024">
        <v>84.18</v>
      </c>
      <c r="F352" s="3024"/>
      <c r="G352" s="3024">
        <f t="shared" si="22"/>
        <v>84.18</v>
      </c>
      <c r="H352" s="3024"/>
      <c r="I352" s="3024"/>
      <c r="J352" s="3024"/>
      <c r="K352" s="3024">
        <f t="shared" si="16"/>
        <v>84.18</v>
      </c>
      <c r="L352" s="3024">
        <f t="shared" si="20"/>
        <v>84.18</v>
      </c>
      <c r="M352" s="3024"/>
    </row>
    <row r="353" spans="1:13">
      <c r="A353" s="3024"/>
      <c r="B353" s="3024"/>
      <c r="C353" s="3024">
        <v>-206</v>
      </c>
      <c r="D353" s="3024"/>
      <c r="E353" s="3024">
        <v>84.18</v>
      </c>
      <c r="F353" s="3024"/>
      <c r="G353" s="3024">
        <f t="shared" si="22"/>
        <v>84.18</v>
      </c>
      <c r="H353" s="3024"/>
      <c r="I353" s="3024"/>
      <c r="J353" s="3024"/>
      <c r="K353" s="3024">
        <f t="shared" si="16"/>
        <v>84.18</v>
      </c>
      <c r="L353" s="3024">
        <f t="shared" si="20"/>
        <v>84.18</v>
      </c>
      <c r="M353" s="3024"/>
    </row>
    <row r="354" spans="1:13">
      <c r="A354" s="3024"/>
      <c r="B354" s="3024"/>
      <c r="C354" s="3024">
        <v>101</v>
      </c>
      <c r="D354" s="3024">
        <v>134.34</v>
      </c>
      <c r="E354" s="3024">
        <v>84.39</v>
      </c>
      <c r="F354" s="3024"/>
      <c r="G354" s="3024">
        <f t="shared" si="22"/>
        <v>218.73000000000002</v>
      </c>
      <c r="H354" s="3024"/>
      <c r="I354" s="3024"/>
      <c r="J354" s="3024">
        <f>J342</f>
        <v>108.67</v>
      </c>
      <c r="K354" s="3024">
        <f t="shared" si="16"/>
        <v>110.06000000000002</v>
      </c>
      <c r="L354" s="3024">
        <f t="shared" si="20"/>
        <v>218.73000000000002</v>
      </c>
      <c r="M354" s="3024">
        <f>J354+J355+J356+J357+J358+J359</f>
        <v>652.01</v>
      </c>
    </row>
    <row r="355" spans="1:13">
      <c r="A355" s="3024"/>
      <c r="B355" s="3024"/>
      <c r="C355" s="3024">
        <v>102</v>
      </c>
      <c r="D355" s="3024">
        <v>134.34</v>
      </c>
      <c r="E355" s="3024">
        <v>84.53</v>
      </c>
      <c r="F355" s="3024"/>
      <c r="G355" s="3024">
        <f t="shared" si="22"/>
        <v>218.87</v>
      </c>
      <c r="H355" s="3024"/>
      <c r="I355" s="3024"/>
      <c r="J355" s="3024">
        <f>J354</f>
        <v>108.67</v>
      </c>
      <c r="K355" s="3024">
        <f t="shared" si="16"/>
        <v>110.2</v>
      </c>
      <c r="L355" s="3024">
        <f t="shared" si="20"/>
        <v>218.87</v>
      </c>
      <c r="M355" s="3024"/>
    </row>
    <row r="356" spans="1:13">
      <c r="A356" s="3024"/>
      <c r="B356" s="3024"/>
      <c r="C356" s="3024">
        <v>103</v>
      </c>
      <c r="D356" s="3024">
        <v>134.54</v>
      </c>
      <c r="E356" s="3024">
        <v>84.8</v>
      </c>
      <c r="F356" s="3024"/>
      <c r="G356" s="3024">
        <f t="shared" si="22"/>
        <v>219.33999999999997</v>
      </c>
      <c r="H356" s="3024"/>
      <c r="I356" s="3024"/>
      <c r="J356" s="3024">
        <f>J354</f>
        <v>108.67</v>
      </c>
      <c r="K356" s="3024">
        <f t="shared" si="16"/>
        <v>110.66999999999997</v>
      </c>
      <c r="L356" s="3024">
        <f t="shared" si="20"/>
        <v>219.33999999999997</v>
      </c>
      <c r="M356" s="3024"/>
    </row>
    <row r="357" spans="1:13">
      <c r="A357" s="3024"/>
      <c r="B357" s="3024"/>
      <c r="C357" s="3024">
        <v>104</v>
      </c>
      <c r="D357" s="3024">
        <v>134.34</v>
      </c>
      <c r="E357" s="3024">
        <v>84.39</v>
      </c>
      <c r="F357" s="3024"/>
      <c r="G357" s="3024">
        <f t="shared" si="22"/>
        <v>218.73000000000002</v>
      </c>
      <c r="H357" s="3024"/>
      <c r="I357" s="3024"/>
      <c r="J357" s="3024">
        <f>J354</f>
        <v>108.67</v>
      </c>
      <c r="K357" s="3024">
        <f t="shared" si="16"/>
        <v>110.06000000000002</v>
      </c>
      <c r="L357" s="3024">
        <f t="shared" si="20"/>
        <v>218.73000000000002</v>
      </c>
      <c r="M357" s="3024"/>
    </row>
    <row r="358" spans="1:13">
      <c r="A358" s="3024"/>
      <c r="B358" s="3024"/>
      <c r="C358" s="3024">
        <v>105</v>
      </c>
      <c r="D358" s="3024">
        <v>134.34</v>
      </c>
      <c r="E358" s="3024">
        <v>84.53</v>
      </c>
      <c r="F358" s="3024"/>
      <c r="G358" s="3024">
        <f t="shared" si="22"/>
        <v>218.87</v>
      </c>
      <c r="H358" s="3024"/>
      <c r="I358" s="3024"/>
      <c r="J358" s="3024">
        <f>J354</f>
        <v>108.67</v>
      </c>
      <c r="K358" s="3024">
        <f t="shared" si="16"/>
        <v>110.2</v>
      </c>
      <c r="L358" s="3024">
        <f t="shared" si="20"/>
        <v>218.87</v>
      </c>
      <c r="M358" s="3024"/>
    </row>
    <row r="359" spans="1:13">
      <c r="A359" s="3024"/>
      <c r="B359" s="3024"/>
      <c r="C359" s="3024">
        <v>106</v>
      </c>
      <c r="D359" s="3024">
        <v>134.54</v>
      </c>
      <c r="E359" s="3024">
        <v>84.8</v>
      </c>
      <c r="F359" s="3024"/>
      <c r="G359" s="3024">
        <f t="shared" si="22"/>
        <v>219.33999999999997</v>
      </c>
      <c r="H359" s="3024"/>
      <c r="I359" s="3024"/>
      <c r="J359" s="3024">
        <f>J347</f>
        <v>108.66</v>
      </c>
      <c r="K359" s="3024">
        <f t="shared" si="16"/>
        <v>110.67999999999998</v>
      </c>
      <c r="L359" s="3024">
        <f t="shared" si="20"/>
        <v>219.33999999999997</v>
      </c>
      <c r="M359" s="3024"/>
    </row>
    <row r="360" spans="1:13">
      <c r="A360" s="3024" t="s">
        <v>3072</v>
      </c>
      <c r="B360" s="3024">
        <v>5</v>
      </c>
      <c r="C360" s="3024">
        <v>-201</v>
      </c>
      <c r="D360" s="3024"/>
      <c r="E360" s="3024">
        <v>84.29</v>
      </c>
      <c r="F360" s="3024"/>
      <c r="G360" s="3024">
        <f t="shared" si="2"/>
        <v>84.29</v>
      </c>
      <c r="H360" s="3024">
        <f>SUM(G360:G369)</f>
        <v>1524.39</v>
      </c>
      <c r="I360" s="3024"/>
      <c r="J360" s="3024"/>
      <c r="K360" s="3024">
        <f t="shared" ref="K360:K617" si="23">G360-J360</f>
        <v>84.29</v>
      </c>
      <c r="L360" s="3024">
        <f t="shared" si="20"/>
        <v>84.29</v>
      </c>
      <c r="M360" s="3024"/>
    </row>
    <row r="361" spans="1:13">
      <c r="A361" s="3024"/>
      <c r="B361" s="3024"/>
      <c r="C361" s="3024">
        <v>-202</v>
      </c>
      <c r="D361" s="3024"/>
      <c r="E361" s="3024">
        <v>84.29</v>
      </c>
      <c r="F361" s="3024"/>
      <c r="G361" s="3024">
        <f t="shared" ref="G361:G368" si="24">SUM(D361:F361)</f>
        <v>84.29</v>
      </c>
      <c r="H361" s="3024"/>
      <c r="I361" s="3024"/>
      <c r="J361" s="3024"/>
      <c r="K361" s="3024">
        <f t="shared" si="23"/>
        <v>84.29</v>
      </c>
      <c r="L361" s="3024">
        <f t="shared" si="20"/>
        <v>84.29</v>
      </c>
      <c r="M361" s="3024"/>
    </row>
    <row r="362" spans="1:13">
      <c r="A362" s="3024"/>
      <c r="B362" s="3024"/>
      <c r="C362" s="3024">
        <v>-203</v>
      </c>
      <c r="D362" s="3024"/>
      <c r="E362" s="3024">
        <v>84.25</v>
      </c>
      <c r="F362" s="3024"/>
      <c r="G362" s="3024">
        <f t="shared" si="24"/>
        <v>84.25</v>
      </c>
      <c r="H362" s="3024"/>
      <c r="I362" s="3024"/>
      <c r="J362" s="3024"/>
      <c r="K362" s="3024">
        <f t="shared" si="23"/>
        <v>84.25</v>
      </c>
      <c r="L362" s="3024">
        <f t="shared" si="20"/>
        <v>84.25</v>
      </c>
      <c r="M362" s="3024"/>
    </row>
    <row r="363" spans="1:13">
      <c r="A363" s="3024"/>
      <c r="B363" s="3024"/>
      <c r="C363" s="3024">
        <v>-204</v>
      </c>
      <c r="D363" s="3024"/>
      <c r="E363" s="3024">
        <v>84.29</v>
      </c>
      <c r="F363" s="3024"/>
      <c r="G363" s="3024">
        <f t="shared" si="24"/>
        <v>84.29</v>
      </c>
      <c r="H363" s="3024"/>
      <c r="I363" s="3024"/>
      <c r="J363" s="3024"/>
      <c r="K363" s="3024">
        <f t="shared" si="23"/>
        <v>84.29</v>
      </c>
      <c r="L363" s="3024">
        <f t="shared" si="20"/>
        <v>84.29</v>
      </c>
      <c r="M363" s="3024"/>
    </row>
    <row r="364" spans="1:13">
      <c r="A364" s="3024"/>
      <c r="B364" s="3024"/>
      <c r="C364" s="3024">
        <v>-205</v>
      </c>
      <c r="D364" s="3024"/>
      <c r="E364" s="3024">
        <v>84.29</v>
      </c>
      <c r="F364" s="3024"/>
      <c r="G364" s="3024">
        <f t="shared" si="24"/>
        <v>84.29</v>
      </c>
      <c r="H364" s="3024"/>
      <c r="I364" s="3024"/>
      <c r="J364" s="3024"/>
      <c r="K364" s="3024">
        <f t="shared" si="23"/>
        <v>84.29</v>
      </c>
      <c r="L364" s="3024">
        <f t="shared" si="20"/>
        <v>84.29</v>
      </c>
      <c r="M364" s="3024"/>
    </row>
    <row r="365" spans="1:13">
      <c r="A365" s="3024"/>
      <c r="B365" s="3024"/>
      <c r="C365" s="3024">
        <v>101</v>
      </c>
      <c r="D365" s="3024">
        <v>134.97999999999999</v>
      </c>
      <c r="E365" s="3024">
        <v>84.99</v>
      </c>
      <c r="F365" s="3024"/>
      <c r="G365" s="3024">
        <f t="shared" si="24"/>
        <v>219.96999999999997</v>
      </c>
      <c r="H365" s="3024"/>
      <c r="I365" s="3024"/>
      <c r="J365" s="3024">
        <f>J319</f>
        <v>109.52</v>
      </c>
      <c r="K365" s="3024">
        <f t="shared" si="23"/>
        <v>110.44999999999997</v>
      </c>
      <c r="L365" s="3024">
        <f t="shared" si="20"/>
        <v>219.96999999999997</v>
      </c>
      <c r="M365" s="3024">
        <f>J365+J366+J367+J368+J369</f>
        <v>547.61</v>
      </c>
    </row>
    <row r="366" spans="1:13">
      <c r="A366" s="3024"/>
      <c r="B366" s="3024"/>
      <c r="C366" s="3024">
        <v>102</v>
      </c>
      <c r="D366" s="3024">
        <v>135.18</v>
      </c>
      <c r="E366" s="3024">
        <v>85.32</v>
      </c>
      <c r="F366" s="3024"/>
      <c r="G366" s="3024">
        <f t="shared" si="24"/>
        <v>220.5</v>
      </c>
      <c r="H366" s="3024"/>
      <c r="I366" s="3024"/>
      <c r="J366" s="3024">
        <f>J365</f>
        <v>109.52</v>
      </c>
      <c r="K366" s="3024">
        <f t="shared" si="23"/>
        <v>110.98</v>
      </c>
      <c r="L366" s="3024">
        <f t="shared" si="20"/>
        <v>220.5</v>
      </c>
      <c r="M366" s="3024"/>
    </row>
    <row r="367" spans="1:13">
      <c r="A367" s="3024"/>
      <c r="B367" s="3024"/>
      <c r="C367" s="3024">
        <v>103</v>
      </c>
      <c r="D367" s="3024">
        <v>136.6</v>
      </c>
      <c r="E367" s="3024">
        <v>85.44</v>
      </c>
      <c r="F367" s="3024"/>
      <c r="G367" s="3024">
        <f t="shared" si="24"/>
        <v>222.04</v>
      </c>
      <c r="H367" s="3024"/>
      <c r="I367" s="3024"/>
      <c r="J367" s="3024">
        <f>J365</f>
        <v>109.52</v>
      </c>
      <c r="K367" s="3024">
        <f t="shared" si="23"/>
        <v>112.52</v>
      </c>
      <c r="L367" s="3024">
        <f t="shared" si="20"/>
        <v>222.04</v>
      </c>
      <c r="M367" s="3024"/>
    </row>
    <row r="368" spans="1:13">
      <c r="A368" s="3024"/>
      <c r="B368" s="3024"/>
      <c r="C368" s="3024">
        <v>104</v>
      </c>
      <c r="D368" s="3024">
        <v>134.97999999999999</v>
      </c>
      <c r="E368" s="3024">
        <v>84.99</v>
      </c>
      <c r="F368" s="3024"/>
      <c r="G368" s="3024">
        <f t="shared" si="24"/>
        <v>219.96999999999997</v>
      </c>
      <c r="H368" s="3024"/>
      <c r="I368" s="3024"/>
      <c r="J368" s="3024">
        <f>J365</f>
        <v>109.52</v>
      </c>
      <c r="K368" s="3024">
        <f t="shared" si="23"/>
        <v>110.44999999999997</v>
      </c>
      <c r="L368" s="3024">
        <f t="shared" si="20"/>
        <v>219.96999999999997</v>
      </c>
      <c r="M368" s="3024"/>
    </row>
    <row r="369" spans="1:13">
      <c r="A369" s="3024"/>
      <c r="B369" s="3024"/>
      <c r="C369" s="3024">
        <v>105</v>
      </c>
      <c r="D369" s="3024">
        <v>135.18</v>
      </c>
      <c r="E369" s="3024">
        <v>85.32</v>
      </c>
      <c r="F369" s="3024"/>
      <c r="G369" s="3024">
        <f>SUM(D369:F369)</f>
        <v>220.5</v>
      </c>
      <c r="H369" s="3024"/>
      <c r="I369" s="3024"/>
      <c r="J369" s="3024">
        <f>J323</f>
        <v>109.53000000000007</v>
      </c>
      <c r="K369" s="3024">
        <f t="shared" si="23"/>
        <v>110.96999999999993</v>
      </c>
      <c r="L369" s="3024">
        <f t="shared" si="20"/>
        <v>220.5</v>
      </c>
      <c r="M369" s="3024"/>
    </row>
    <row r="370" spans="1:13">
      <c r="A370" s="3024" t="s">
        <v>3111</v>
      </c>
      <c r="B370" s="3024">
        <v>6</v>
      </c>
      <c r="C370" s="3024">
        <v>-201</v>
      </c>
      <c r="D370" s="3024"/>
      <c r="E370" s="3024">
        <v>83.44</v>
      </c>
      <c r="F370" s="3024"/>
      <c r="G370" s="3024">
        <f t="shared" si="2"/>
        <v>83.44</v>
      </c>
      <c r="H370" s="3024">
        <f>SUM(G370:G381)</f>
        <v>1816.3200000000002</v>
      </c>
      <c r="I370" s="3024"/>
      <c r="J370" s="3024"/>
      <c r="K370" s="3024">
        <f t="shared" si="23"/>
        <v>83.44</v>
      </c>
      <c r="L370" s="3024">
        <f t="shared" si="20"/>
        <v>83.44</v>
      </c>
      <c r="M370" s="3024"/>
    </row>
    <row r="371" spans="1:13">
      <c r="A371" s="3024"/>
      <c r="B371" s="3024"/>
      <c r="C371" s="3024">
        <v>-202</v>
      </c>
      <c r="D371" s="3024"/>
      <c r="E371" s="3024">
        <v>84.16</v>
      </c>
      <c r="F371" s="3024"/>
      <c r="G371" s="3024">
        <f t="shared" ref="G371:G381" si="25">SUM(D371:F371)</f>
        <v>84.16</v>
      </c>
      <c r="H371" s="3024"/>
      <c r="I371" s="3024"/>
      <c r="J371" s="3024"/>
      <c r="K371" s="3024">
        <f t="shared" si="23"/>
        <v>84.16</v>
      </c>
      <c r="L371" s="3024">
        <f t="shared" si="20"/>
        <v>84.16</v>
      </c>
      <c r="M371" s="3024"/>
    </row>
    <row r="372" spans="1:13">
      <c r="A372" s="3024"/>
      <c r="B372" s="3024"/>
      <c r="C372" s="3024">
        <v>-203</v>
      </c>
      <c r="D372" s="3024"/>
      <c r="E372" s="3024">
        <v>84.16</v>
      </c>
      <c r="F372" s="3024"/>
      <c r="G372" s="3024">
        <f t="shared" si="25"/>
        <v>84.16</v>
      </c>
      <c r="H372" s="3024"/>
      <c r="I372" s="3024"/>
      <c r="J372" s="3024"/>
      <c r="K372" s="3024">
        <f t="shared" si="23"/>
        <v>84.16</v>
      </c>
      <c r="L372" s="3024">
        <f t="shared" si="20"/>
        <v>84.16</v>
      </c>
      <c r="M372" s="3024"/>
    </row>
    <row r="373" spans="1:13">
      <c r="A373" s="3024"/>
      <c r="B373" s="3024"/>
      <c r="C373" s="3024">
        <v>-204</v>
      </c>
      <c r="D373" s="3024"/>
      <c r="E373" s="3024">
        <v>83.44</v>
      </c>
      <c r="F373" s="3024"/>
      <c r="G373" s="3024">
        <f t="shared" si="25"/>
        <v>83.44</v>
      </c>
      <c r="H373" s="3024"/>
      <c r="I373" s="3024"/>
      <c r="J373" s="3024"/>
      <c r="K373" s="3024">
        <f t="shared" si="23"/>
        <v>83.44</v>
      </c>
      <c r="L373" s="3024">
        <f t="shared" si="20"/>
        <v>83.44</v>
      </c>
      <c r="M373" s="3024"/>
    </row>
    <row r="374" spans="1:13">
      <c r="A374" s="3024"/>
      <c r="B374" s="3024"/>
      <c r="C374" s="3024">
        <v>-205</v>
      </c>
      <c r="D374" s="3024"/>
      <c r="E374" s="3024">
        <v>84.16</v>
      </c>
      <c r="F374" s="3024"/>
      <c r="G374" s="3024">
        <f t="shared" si="25"/>
        <v>84.16</v>
      </c>
      <c r="H374" s="3024"/>
      <c r="I374" s="3024"/>
      <c r="J374" s="3024"/>
      <c r="K374" s="3024">
        <f t="shared" si="23"/>
        <v>84.16</v>
      </c>
      <c r="L374" s="3024">
        <f t="shared" si="20"/>
        <v>84.16</v>
      </c>
      <c r="M374" s="3024"/>
    </row>
    <row r="375" spans="1:13">
      <c r="A375" s="3024"/>
      <c r="B375" s="3024"/>
      <c r="C375" s="3024">
        <v>-206</v>
      </c>
      <c r="D375" s="3024"/>
      <c r="E375" s="3024">
        <v>84.16</v>
      </c>
      <c r="F375" s="3024"/>
      <c r="G375" s="3024">
        <f t="shared" si="25"/>
        <v>84.16</v>
      </c>
      <c r="H375" s="3024"/>
      <c r="I375" s="3024"/>
      <c r="J375" s="3024"/>
      <c r="K375" s="3024">
        <f t="shared" si="23"/>
        <v>84.16</v>
      </c>
      <c r="L375" s="3024">
        <f t="shared" si="20"/>
        <v>84.16</v>
      </c>
      <c r="M375" s="3024"/>
    </row>
    <row r="376" spans="1:13">
      <c r="A376" s="3024"/>
      <c r="B376" s="3024"/>
      <c r="C376" s="3024">
        <v>101</v>
      </c>
      <c r="D376" s="3024">
        <v>134.22999999999999</v>
      </c>
      <c r="E376" s="3024">
        <v>84.32</v>
      </c>
      <c r="F376" s="3024"/>
      <c r="G376" s="3024">
        <f t="shared" si="25"/>
        <v>218.54999999999998</v>
      </c>
      <c r="H376" s="3024"/>
      <c r="I376" s="3024"/>
      <c r="J376" s="3024">
        <f>J354</f>
        <v>108.67</v>
      </c>
      <c r="K376" s="3024">
        <f t="shared" si="23"/>
        <v>109.87999999999998</v>
      </c>
      <c r="L376" s="3024">
        <f t="shared" si="20"/>
        <v>218.54999999999998</v>
      </c>
      <c r="M376" s="3024">
        <f>J376+J377+J378+J379+J380+J381</f>
        <v>652.01</v>
      </c>
    </row>
    <row r="377" spans="1:13">
      <c r="A377" s="3024"/>
      <c r="B377" s="3024"/>
      <c r="C377" s="3024">
        <v>102</v>
      </c>
      <c r="D377" s="3024">
        <v>134.22999999999999</v>
      </c>
      <c r="E377" s="3024">
        <v>84.46</v>
      </c>
      <c r="F377" s="3024"/>
      <c r="G377" s="3024">
        <f t="shared" si="25"/>
        <v>218.69</v>
      </c>
      <c r="H377" s="3024"/>
      <c r="I377" s="3024"/>
      <c r="J377" s="3024">
        <f>J376</f>
        <v>108.67</v>
      </c>
      <c r="K377" s="3024">
        <f t="shared" si="23"/>
        <v>110.02</v>
      </c>
      <c r="L377" s="3024">
        <f t="shared" si="20"/>
        <v>218.69</v>
      </c>
      <c r="M377" s="3024"/>
    </row>
    <row r="378" spans="1:13">
      <c r="A378" s="3024"/>
      <c r="B378" s="3024"/>
      <c r="C378" s="3024">
        <v>103</v>
      </c>
      <c r="D378" s="3024">
        <v>134.43</v>
      </c>
      <c r="E378" s="3024">
        <v>84.73</v>
      </c>
      <c r="F378" s="3024"/>
      <c r="G378" s="3024">
        <f t="shared" si="25"/>
        <v>219.16000000000003</v>
      </c>
      <c r="H378" s="3024"/>
      <c r="I378" s="3024"/>
      <c r="J378" s="3024">
        <f>J376</f>
        <v>108.67</v>
      </c>
      <c r="K378" s="3024">
        <f t="shared" si="23"/>
        <v>110.49000000000002</v>
      </c>
      <c r="L378" s="3024">
        <f t="shared" si="20"/>
        <v>219.16000000000003</v>
      </c>
      <c r="M378" s="3024"/>
    </row>
    <row r="379" spans="1:13">
      <c r="A379" s="3024"/>
      <c r="B379" s="3024"/>
      <c r="C379" s="3024">
        <v>104</v>
      </c>
      <c r="D379" s="3024">
        <v>134.22999999999999</v>
      </c>
      <c r="E379" s="3024">
        <v>84.32</v>
      </c>
      <c r="F379" s="3024"/>
      <c r="G379" s="3024">
        <f t="shared" si="25"/>
        <v>218.54999999999998</v>
      </c>
      <c r="H379" s="3024"/>
      <c r="I379" s="3024"/>
      <c r="J379" s="3024">
        <f>J376</f>
        <v>108.67</v>
      </c>
      <c r="K379" s="3024">
        <f t="shared" si="23"/>
        <v>109.87999999999998</v>
      </c>
      <c r="L379" s="3024">
        <f t="shared" si="20"/>
        <v>218.54999999999998</v>
      </c>
      <c r="M379" s="3024"/>
    </row>
    <row r="380" spans="1:13">
      <c r="A380" s="3024"/>
      <c r="B380" s="3024"/>
      <c r="C380" s="3024">
        <v>105</v>
      </c>
      <c r="D380" s="3024">
        <v>134.22999999999999</v>
      </c>
      <c r="E380" s="3024">
        <v>84.46</v>
      </c>
      <c r="F380" s="3024"/>
      <c r="G380" s="3024">
        <f t="shared" si="25"/>
        <v>218.69</v>
      </c>
      <c r="H380" s="3024"/>
      <c r="I380" s="3024"/>
      <c r="J380" s="3024">
        <f>J376</f>
        <v>108.67</v>
      </c>
      <c r="K380" s="3024">
        <f t="shared" si="23"/>
        <v>110.02</v>
      </c>
      <c r="L380" s="3024">
        <f t="shared" si="20"/>
        <v>218.69</v>
      </c>
      <c r="M380" s="3024"/>
    </row>
    <row r="381" spans="1:13">
      <c r="A381" s="3024"/>
      <c r="B381" s="3024"/>
      <c r="C381" s="3024">
        <v>106</v>
      </c>
      <c r="D381" s="3024">
        <v>134.43</v>
      </c>
      <c r="E381" s="3024">
        <v>84.73</v>
      </c>
      <c r="F381" s="3024"/>
      <c r="G381" s="3024">
        <f t="shared" si="25"/>
        <v>219.16000000000003</v>
      </c>
      <c r="H381" s="3024"/>
      <c r="I381" s="3024"/>
      <c r="J381" s="3024">
        <f>J359</f>
        <v>108.66</v>
      </c>
      <c r="K381" s="3024">
        <f t="shared" si="23"/>
        <v>110.50000000000003</v>
      </c>
      <c r="L381" s="3024">
        <f t="shared" si="20"/>
        <v>219.16000000000003</v>
      </c>
      <c r="M381" s="3024"/>
    </row>
    <row r="382" spans="1:13">
      <c r="A382" s="3024" t="s">
        <v>3112</v>
      </c>
      <c r="B382" s="3024">
        <v>6</v>
      </c>
      <c r="C382" s="3024">
        <v>-201</v>
      </c>
      <c r="D382" s="3024"/>
      <c r="E382" s="3024">
        <v>83.44</v>
      </c>
      <c r="F382" s="3024"/>
      <c r="G382" s="3024">
        <f t="shared" si="2"/>
        <v>83.44</v>
      </c>
      <c r="H382" s="3024">
        <f>SUM(G382:G393)</f>
        <v>1816.3200000000002</v>
      </c>
      <c r="I382" s="3024"/>
      <c r="J382" s="3024"/>
      <c r="K382" s="3024">
        <f t="shared" si="23"/>
        <v>83.44</v>
      </c>
      <c r="L382" s="3024">
        <f t="shared" si="20"/>
        <v>83.44</v>
      </c>
      <c r="M382" s="3024"/>
    </row>
    <row r="383" spans="1:13">
      <c r="A383" s="3024"/>
      <c r="B383" s="3024"/>
      <c r="C383" s="3024">
        <v>-202</v>
      </c>
      <c r="D383" s="3024"/>
      <c r="E383" s="3024">
        <v>84.16</v>
      </c>
      <c r="F383" s="3024"/>
      <c r="G383" s="3024">
        <f t="shared" ref="G383:G390" si="26">SUM(D383:F383)</f>
        <v>84.16</v>
      </c>
      <c r="H383" s="3024"/>
      <c r="I383" s="3024"/>
      <c r="J383" s="3024"/>
      <c r="K383" s="3024">
        <f t="shared" si="23"/>
        <v>84.16</v>
      </c>
      <c r="L383" s="3024">
        <f t="shared" si="20"/>
        <v>84.16</v>
      </c>
      <c r="M383" s="3024"/>
    </row>
    <row r="384" spans="1:13">
      <c r="A384" s="3024"/>
      <c r="B384" s="3024"/>
      <c r="C384" s="3024">
        <v>-203</v>
      </c>
      <c r="D384" s="3024"/>
      <c r="E384" s="3024">
        <v>84.16</v>
      </c>
      <c r="F384" s="3024"/>
      <c r="G384" s="3024">
        <f t="shared" si="26"/>
        <v>84.16</v>
      </c>
      <c r="H384" s="3024"/>
      <c r="I384" s="3024"/>
      <c r="J384" s="3024"/>
      <c r="K384" s="3024">
        <f t="shared" si="23"/>
        <v>84.16</v>
      </c>
      <c r="L384" s="3024">
        <f t="shared" si="20"/>
        <v>84.16</v>
      </c>
      <c r="M384" s="3024"/>
    </row>
    <row r="385" spans="1:13">
      <c r="A385" s="3024"/>
      <c r="B385" s="3024"/>
      <c r="C385" s="3024">
        <v>-204</v>
      </c>
      <c r="D385" s="3024"/>
      <c r="E385" s="3024">
        <v>83.44</v>
      </c>
      <c r="F385" s="3024"/>
      <c r="G385" s="3024">
        <f t="shared" si="26"/>
        <v>83.44</v>
      </c>
      <c r="H385" s="3024"/>
      <c r="I385" s="3024"/>
      <c r="J385" s="3024"/>
      <c r="K385" s="3024">
        <f t="shared" si="23"/>
        <v>83.44</v>
      </c>
      <c r="L385" s="3024">
        <f t="shared" si="20"/>
        <v>83.44</v>
      </c>
      <c r="M385" s="3024"/>
    </row>
    <row r="386" spans="1:13">
      <c r="A386" s="3024"/>
      <c r="B386" s="3024"/>
      <c r="C386" s="3024">
        <v>-205</v>
      </c>
      <c r="D386" s="3024"/>
      <c r="E386" s="3024">
        <v>84.16</v>
      </c>
      <c r="F386" s="3024"/>
      <c r="G386" s="3024">
        <f t="shared" si="26"/>
        <v>84.16</v>
      </c>
      <c r="H386" s="3024"/>
      <c r="I386" s="3024"/>
      <c r="J386" s="3024"/>
      <c r="K386" s="3024">
        <f t="shared" si="23"/>
        <v>84.16</v>
      </c>
      <c r="L386" s="3024">
        <f t="shared" si="20"/>
        <v>84.16</v>
      </c>
      <c r="M386" s="3024"/>
    </row>
    <row r="387" spans="1:13">
      <c r="A387" s="3024"/>
      <c r="B387" s="3024"/>
      <c r="C387" s="3024">
        <v>-206</v>
      </c>
      <c r="D387" s="3024"/>
      <c r="E387" s="3024">
        <v>84.16</v>
      </c>
      <c r="F387" s="3024"/>
      <c r="G387" s="3024">
        <f t="shared" si="26"/>
        <v>84.16</v>
      </c>
      <c r="H387" s="3024"/>
      <c r="I387" s="3024"/>
      <c r="J387" s="3024"/>
      <c r="K387" s="3024">
        <f t="shared" si="23"/>
        <v>84.16</v>
      </c>
      <c r="L387" s="3024">
        <f t="shared" si="20"/>
        <v>84.16</v>
      </c>
      <c r="M387" s="3024"/>
    </row>
    <row r="388" spans="1:13">
      <c r="A388" s="3024"/>
      <c r="B388" s="3024"/>
      <c r="C388" s="3024">
        <v>101</v>
      </c>
      <c r="D388" s="3024">
        <v>134.22999999999999</v>
      </c>
      <c r="E388" s="3024">
        <v>84.32</v>
      </c>
      <c r="F388" s="3024"/>
      <c r="G388" s="3024">
        <f t="shared" si="26"/>
        <v>218.54999999999998</v>
      </c>
      <c r="H388" s="3024"/>
      <c r="I388" s="3024"/>
      <c r="J388" s="3024">
        <f>J376</f>
        <v>108.67</v>
      </c>
      <c r="K388" s="3024">
        <f t="shared" si="23"/>
        <v>109.87999999999998</v>
      </c>
      <c r="L388" s="3024">
        <f t="shared" si="20"/>
        <v>218.54999999999998</v>
      </c>
      <c r="M388" s="3024">
        <f>J388+J389+J390+J391+J392+J393</f>
        <v>652.01</v>
      </c>
    </row>
    <row r="389" spans="1:13">
      <c r="A389" s="3024"/>
      <c r="B389" s="3024"/>
      <c r="C389" s="3024">
        <v>102</v>
      </c>
      <c r="D389" s="3024">
        <v>134.22999999999999</v>
      </c>
      <c r="E389" s="3024">
        <v>84.46</v>
      </c>
      <c r="F389" s="3024"/>
      <c r="G389" s="3024">
        <f t="shared" si="26"/>
        <v>218.69</v>
      </c>
      <c r="H389" s="3024"/>
      <c r="I389" s="3024"/>
      <c r="J389" s="3024">
        <f>J388</f>
        <v>108.67</v>
      </c>
      <c r="K389" s="3024">
        <f t="shared" si="23"/>
        <v>110.02</v>
      </c>
      <c r="L389" s="3024">
        <f t="shared" si="20"/>
        <v>218.69</v>
      </c>
      <c r="M389" s="3024"/>
    </row>
    <row r="390" spans="1:13">
      <c r="A390" s="3024"/>
      <c r="B390" s="3024"/>
      <c r="C390" s="3024">
        <v>103</v>
      </c>
      <c r="D390" s="3024">
        <v>134.43</v>
      </c>
      <c r="E390" s="3024">
        <v>84.73</v>
      </c>
      <c r="F390" s="3024"/>
      <c r="G390" s="3024">
        <f t="shared" si="26"/>
        <v>219.16000000000003</v>
      </c>
      <c r="H390" s="3024"/>
      <c r="I390" s="3024"/>
      <c r="J390" s="3024">
        <f>J388</f>
        <v>108.67</v>
      </c>
      <c r="K390" s="3024">
        <f t="shared" si="23"/>
        <v>110.49000000000002</v>
      </c>
      <c r="L390" s="3024">
        <f t="shared" si="20"/>
        <v>219.16000000000003</v>
      </c>
      <c r="M390" s="3024"/>
    </row>
    <row r="391" spans="1:13">
      <c r="A391" s="3024"/>
      <c r="B391" s="3024"/>
      <c r="C391" s="3024">
        <v>104</v>
      </c>
      <c r="D391" s="3024">
        <v>134.22999999999999</v>
      </c>
      <c r="E391" s="3024">
        <v>84.32</v>
      </c>
      <c r="F391" s="3024"/>
      <c r="G391" s="3024">
        <f>SUM(D391:F391)</f>
        <v>218.54999999999998</v>
      </c>
      <c r="H391" s="3024"/>
      <c r="I391" s="3024"/>
      <c r="J391" s="3024">
        <f>J388</f>
        <v>108.67</v>
      </c>
      <c r="K391" s="3024">
        <f t="shared" si="23"/>
        <v>109.87999999999998</v>
      </c>
      <c r="L391" s="3024">
        <f t="shared" si="20"/>
        <v>218.54999999999998</v>
      </c>
      <c r="M391" s="3024"/>
    </row>
    <row r="392" spans="1:13">
      <c r="A392" s="3024"/>
      <c r="B392" s="3024"/>
      <c r="C392" s="3024">
        <v>105</v>
      </c>
      <c r="D392" s="3024">
        <v>134.22999999999999</v>
      </c>
      <c r="E392" s="3024">
        <v>84.46</v>
      </c>
      <c r="F392" s="3024"/>
      <c r="G392" s="3024">
        <f>SUM(D392:F392)</f>
        <v>218.69</v>
      </c>
      <c r="H392" s="3024"/>
      <c r="I392" s="3024"/>
      <c r="J392" s="3024">
        <f>J388</f>
        <v>108.67</v>
      </c>
      <c r="K392" s="3024">
        <f t="shared" si="23"/>
        <v>110.02</v>
      </c>
      <c r="L392" s="3024">
        <f t="shared" si="20"/>
        <v>218.69</v>
      </c>
      <c r="M392" s="3024"/>
    </row>
    <row r="393" spans="1:13">
      <c r="A393" s="3024"/>
      <c r="B393" s="3024"/>
      <c r="C393" s="3024">
        <v>106</v>
      </c>
      <c r="D393" s="3024">
        <v>134.43</v>
      </c>
      <c r="E393" s="3024">
        <v>84.73</v>
      </c>
      <c r="F393" s="3024"/>
      <c r="G393" s="3024">
        <f>SUM(D393:F393)</f>
        <v>219.16000000000003</v>
      </c>
      <c r="H393" s="3024"/>
      <c r="I393" s="3024"/>
      <c r="J393" s="3024">
        <f>J381</f>
        <v>108.66</v>
      </c>
      <c r="K393" s="3024">
        <f t="shared" si="23"/>
        <v>110.50000000000003</v>
      </c>
      <c r="L393" s="3024">
        <f t="shared" si="20"/>
        <v>219.16000000000003</v>
      </c>
      <c r="M393" s="3024"/>
    </row>
    <row r="394" spans="1:13">
      <c r="A394" s="3024" t="s">
        <v>3113</v>
      </c>
      <c r="B394" s="3024">
        <v>6</v>
      </c>
      <c r="C394" s="3024">
        <v>-201</v>
      </c>
      <c r="D394" s="3024"/>
      <c r="E394" s="3024">
        <v>83.45</v>
      </c>
      <c r="F394" s="3024"/>
      <c r="G394" s="3024">
        <f t="shared" si="2"/>
        <v>83.45</v>
      </c>
      <c r="H394" s="3024">
        <f>SUM(G394:G405)</f>
        <v>1816.8799999999999</v>
      </c>
      <c r="I394" s="3024"/>
      <c r="J394" s="3024"/>
      <c r="K394" s="3024">
        <f t="shared" si="23"/>
        <v>83.45</v>
      </c>
      <c r="L394" s="3024">
        <f t="shared" si="20"/>
        <v>83.45</v>
      </c>
      <c r="M394" s="3024"/>
    </row>
    <row r="395" spans="1:13">
      <c r="A395" s="3024"/>
      <c r="B395" s="3024"/>
      <c r="C395" s="3024">
        <v>-202</v>
      </c>
      <c r="D395" s="3024"/>
      <c r="E395" s="3024">
        <v>84.17</v>
      </c>
      <c r="F395" s="3024"/>
      <c r="G395" s="3024">
        <f t="shared" ref="G395:G405" si="27">SUM(D395:F395)</f>
        <v>84.17</v>
      </c>
      <c r="H395" s="3024"/>
      <c r="I395" s="3024"/>
      <c r="J395" s="3024"/>
      <c r="K395" s="3024">
        <f t="shared" si="23"/>
        <v>84.17</v>
      </c>
      <c r="L395" s="3024">
        <f t="shared" si="20"/>
        <v>84.17</v>
      </c>
      <c r="M395" s="3024"/>
    </row>
    <row r="396" spans="1:13">
      <c r="A396" s="3024"/>
      <c r="B396" s="3024"/>
      <c r="C396" s="3024">
        <v>-203</v>
      </c>
      <c r="D396" s="3024"/>
      <c r="E396" s="3024">
        <v>84.17</v>
      </c>
      <c r="F396" s="3024"/>
      <c r="G396" s="3024">
        <f t="shared" si="27"/>
        <v>84.17</v>
      </c>
      <c r="H396" s="3024"/>
      <c r="I396" s="3024"/>
      <c r="J396" s="3024"/>
      <c r="K396" s="3024">
        <f t="shared" si="23"/>
        <v>84.17</v>
      </c>
      <c r="L396" s="3024">
        <f t="shared" si="20"/>
        <v>84.17</v>
      </c>
      <c r="M396" s="3024"/>
    </row>
    <row r="397" spans="1:13">
      <c r="A397" s="3024"/>
      <c r="B397" s="3024"/>
      <c r="C397" s="3024">
        <v>-204</v>
      </c>
      <c r="D397" s="3024"/>
      <c r="E397" s="3024">
        <v>83.45</v>
      </c>
      <c r="F397" s="3024"/>
      <c r="G397" s="3024">
        <f t="shared" si="27"/>
        <v>83.45</v>
      </c>
      <c r="H397" s="3024"/>
      <c r="I397" s="3024"/>
      <c r="J397" s="3024"/>
      <c r="K397" s="3024">
        <f t="shared" si="23"/>
        <v>83.45</v>
      </c>
      <c r="L397" s="3024">
        <f t="shared" si="20"/>
        <v>83.45</v>
      </c>
      <c r="M397" s="3024"/>
    </row>
    <row r="398" spans="1:13">
      <c r="A398" s="3024"/>
      <c r="B398" s="3024"/>
      <c r="C398" s="3024">
        <v>-205</v>
      </c>
      <c r="D398" s="3024"/>
      <c r="E398" s="3024">
        <v>84.17</v>
      </c>
      <c r="F398" s="3024"/>
      <c r="G398" s="3024">
        <f t="shared" si="27"/>
        <v>84.17</v>
      </c>
      <c r="H398" s="3024"/>
      <c r="I398" s="3024"/>
      <c r="J398" s="3024"/>
      <c r="K398" s="3024">
        <f t="shared" si="23"/>
        <v>84.17</v>
      </c>
      <c r="L398" s="3024">
        <f t="shared" ref="L398:L461" si="28">J398+K398</f>
        <v>84.17</v>
      </c>
      <c r="M398" s="3024"/>
    </row>
    <row r="399" spans="1:13">
      <c r="A399" s="3024"/>
      <c r="B399" s="3024"/>
      <c r="C399" s="3024">
        <v>-206</v>
      </c>
      <c r="D399" s="3024"/>
      <c r="E399" s="3024">
        <v>84.17</v>
      </c>
      <c r="F399" s="3024"/>
      <c r="G399" s="3024">
        <f t="shared" si="27"/>
        <v>84.17</v>
      </c>
      <c r="H399" s="3024"/>
      <c r="I399" s="3024"/>
      <c r="J399" s="3024"/>
      <c r="K399" s="3024">
        <f t="shared" si="23"/>
        <v>84.17</v>
      </c>
      <c r="L399" s="3024">
        <f t="shared" si="28"/>
        <v>84.17</v>
      </c>
      <c r="M399" s="3024"/>
    </row>
    <row r="400" spans="1:13">
      <c r="A400" s="3024"/>
      <c r="B400" s="3024"/>
      <c r="C400" s="3024">
        <v>101</v>
      </c>
      <c r="D400" s="3024">
        <v>134.29</v>
      </c>
      <c r="E400" s="3024">
        <v>84.35</v>
      </c>
      <c r="F400" s="3024"/>
      <c r="G400" s="3024">
        <f t="shared" si="27"/>
        <v>218.64</v>
      </c>
      <c r="H400" s="3024"/>
      <c r="I400" s="3024"/>
      <c r="J400" s="3024">
        <f>J388</f>
        <v>108.67</v>
      </c>
      <c r="K400" s="3024">
        <f t="shared" si="23"/>
        <v>109.96999999999998</v>
      </c>
      <c r="L400" s="3024">
        <f t="shared" si="28"/>
        <v>218.64</v>
      </c>
      <c r="M400" s="3024">
        <f>J400+J401+J402+J403+J404+J405</f>
        <v>652.01</v>
      </c>
    </row>
    <row r="401" spans="1:13">
      <c r="A401" s="3024"/>
      <c r="B401" s="3024"/>
      <c r="C401" s="3024">
        <v>102</v>
      </c>
      <c r="D401" s="3024">
        <v>134.28</v>
      </c>
      <c r="E401" s="3024">
        <v>84.49</v>
      </c>
      <c r="F401" s="3024"/>
      <c r="G401" s="3024">
        <f t="shared" si="27"/>
        <v>218.76999999999998</v>
      </c>
      <c r="H401" s="3024"/>
      <c r="I401" s="3024"/>
      <c r="J401" s="3024">
        <f>J400</f>
        <v>108.67</v>
      </c>
      <c r="K401" s="3024">
        <f t="shared" si="23"/>
        <v>110.09999999999998</v>
      </c>
      <c r="L401" s="3024">
        <f t="shared" si="28"/>
        <v>218.76999999999998</v>
      </c>
      <c r="M401" s="3024"/>
    </row>
    <row r="402" spans="1:13">
      <c r="A402" s="3024"/>
      <c r="B402" s="3024"/>
      <c r="C402" s="3024">
        <v>103</v>
      </c>
      <c r="D402" s="3024">
        <v>134.47</v>
      </c>
      <c r="E402" s="3024">
        <v>84.77</v>
      </c>
      <c r="F402" s="3024"/>
      <c r="G402" s="3024">
        <f t="shared" si="27"/>
        <v>219.24</v>
      </c>
      <c r="H402" s="3024"/>
      <c r="I402" s="3024"/>
      <c r="J402" s="3024">
        <f>J400</f>
        <v>108.67</v>
      </c>
      <c r="K402" s="3024">
        <f t="shared" si="23"/>
        <v>110.57000000000001</v>
      </c>
      <c r="L402" s="3024">
        <f t="shared" si="28"/>
        <v>219.24</v>
      </c>
      <c r="M402" s="3024"/>
    </row>
    <row r="403" spans="1:13">
      <c r="A403" s="3024"/>
      <c r="B403" s="3024"/>
      <c r="C403" s="3024">
        <v>104</v>
      </c>
      <c r="D403" s="3024">
        <v>134.29</v>
      </c>
      <c r="E403" s="3024">
        <v>84.35</v>
      </c>
      <c r="F403" s="3024"/>
      <c r="G403" s="3024">
        <f t="shared" si="27"/>
        <v>218.64</v>
      </c>
      <c r="H403" s="3024"/>
      <c r="I403" s="3024"/>
      <c r="J403" s="3024">
        <f>J400</f>
        <v>108.67</v>
      </c>
      <c r="K403" s="3024">
        <f t="shared" si="23"/>
        <v>109.96999999999998</v>
      </c>
      <c r="L403" s="3024">
        <f t="shared" si="28"/>
        <v>218.64</v>
      </c>
      <c r="M403" s="3024"/>
    </row>
    <row r="404" spans="1:13">
      <c r="A404" s="3024"/>
      <c r="B404" s="3024"/>
      <c r="C404" s="3024">
        <v>105</v>
      </c>
      <c r="D404" s="3024">
        <v>134.28</v>
      </c>
      <c r="E404" s="3024">
        <v>84.49</v>
      </c>
      <c r="F404" s="3024"/>
      <c r="G404" s="3024">
        <f t="shared" si="27"/>
        <v>218.76999999999998</v>
      </c>
      <c r="H404" s="3024"/>
      <c r="I404" s="3024"/>
      <c r="J404" s="3024">
        <f>J400</f>
        <v>108.67</v>
      </c>
      <c r="K404" s="3024">
        <f t="shared" si="23"/>
        <v>110.09999999999998</v>
      </c>
      <c r="L404" s="3024">
        <f t="shared" si="28"/>
        <v>218.76999999999998</v>
      </c>
      <c r="M404" s="3024"/>
    </row>
    <row r="405" spans="1:13">
      <c r="A405" s="3024"/>
      <c r="B405" s="3024"/>
      <c r="C405" s="3024">
        <v>106</v>
      </c>
      <c r="D405" s="3024">
        <v>134.47</v>
      </c>
      <c r="E405" s="3024">
        <v>84.77</v>
      </c>
      <c r="F405" s="3024"/>
      <c r="G405" s="3024">
        <f t="shared" si="27"/>
        <v>219.24</v>
      </c>
      <c r="H405" s="3024"/>
      <c r="I405" s="3024"/>
      <c r="J405" s="3024">
        <f>J393</f>
        <v>108.66</v>
      </c>
      <c r="K405" s="3024">
        <f t="shared" si="23"/>
        <v>110.58000000000001</v>
      </c>
      <c r="L405" s="3024">
        <f t="shared" si="28"/>
        <v>219.24</v>
      </c>
      <c r="M405" s="3024"/>
    </row>
    <row r="406" spans="1:13">
      <c r="A406" s="3024" t="s">
        <v>3114</v>
      </c>
      <c r="B406" s="3024">
        <v>6</v>
      </c>
      <c r="C406" s="3024">
        <v>-201</v>
      </c>
      <c r="D406" s="3024"/>
      <c r="E406" s="3024">
        <v>83.45</v>
      </c>
      <c r="F406" s="3024"/>
      <c r="G406" s="3024">
        <f t="shared" si="2"/>
        <v>83.45</v>
      </c>
      <c r="H406" s="3024">
        <f>SUM(G406:G417)</f>
        <v>1816.8799999999999</v>
      </c>
      <c r="I406" s="3024"/>
      <c r="J406" s="3024"/>
      <c r="K406" s="3024">
        <f>G406-J406</f>
        <v>83.45</v>
      </c>
      <c r="L406" s="3024">
        <f t="shared" si="28"/>
        <v>83.45</v>
      </c>
      <c r="M406" s="3024"/>
    </row>
    <row r="407" spans="1:13">
      <c r="A407" s="3024"/>
      <c r="B407" s="3024"/>
      <c r="C407" s="3024">
        <v>-202</v>
      </c>
      <c r="D407" s="3024"/>
      <c r="E407" s="3024">
        <v>84.17</v>
      </c>
      <c r="F407" s="3024"/>
      <c r="G407" s="3024">
        <f t="shared" ref="G407:G417" si="29">SUM(D407:F407)</f>
        <v>84.17</v>
      </c>
      <c r="H407" s="3024"/>
      <c r="I407" s="3024"/>
      <c r="J407" s="3024"/>
      <c r="K407" s="3024">
        <f t="shared" si="23"/>
        <v>84.17</v>
      </c>
      <c r="L407" s="3024">
        <f t="shared" si="28"/>
        <v>84.17</v>
      </c>
      <c r="M407" s="3024"/>
    </row>
    <row r="408" spans="1:13">
      <c r="A408" s="3024"/>
      <c r="B408" s="3024"/>
      <c r="C408" s="3024">
        <v>-203</v>
      </c>
      <c r="D408" s="3024"/>
      <c r="E408" s="3024">
        <v>84.17</v>
      </c>
      <c r="F408" s="3024"/>
      <c r="G408" s="3024">
        <f t="shared" si="29"/>
        <v>84.17</v>
      </c>
      <c r="H408" s="3024"/>
      <c r="I408" s="3024"/>
      <c r="J408" s="3024"/>
      <c r="K408" s="3024">
        <f t="shared" si="23"/>
        <v>84.17</v>
      </c>
      <c r="L408" s="3024">
        <f t="shared" si="28"/>
        <v>84.17</v>
      </c>
      <c r="M408" s="3024"/>
    </row>
    <row r="409" spans="1:13">
      <c r="A409" s="3024"/>
      <c r="B409" s="3024"/>
      <c r="C409" s="3024">
        <v>-204</v>
      </c>
      <c r="D409" s="3024"/>
      <c r="E409" s="3024">
        <v>83.45</v>
      </c>
      <c r="F409" s="3024"/>
      <c r="G409" s="3024">
        <f t="shared" si="29"/>
        <v>83.45</v>
      </c>
      <c r="H409" s="3024"/>
      <c r="I409" s="3024"/>
      <c r="J409" s="3024"/>
      <c r="K409" s="3024">
        <f t="shared" si="23"/>
        <v>83.45</v>
      </c>
      <c r="L409" s="3024">
        <f t="shared" si="28"/>
        <v>83.45</v>
      </c>
      <c r="M409" s="3024"/>
    </row>
    <row r="410" spans="1:13">
      <c r="A410" s="3024"/>
      <c r="B410" s="3024"/>
      <c r="C410" s="3024">
        <v>-205</v>
      </c>
      <c r="D410" s="3024"/>
      <c r="E410" s="3024">
        <v>84.17</v>
      </c>
      <c r="F410" s="3024"/>
      <c r="G410" s="3024">
        <f t="shared" si="29"/>
        <v>84.17</v>
      </c>
      <c r="H410" s="3024"/>
      <c r="I410" s="3024"/>
      <c r="J410" s="3024"/>
      <c r="K410" s="3024">
        <f t="shared" si="23"/>
        <v>84.17</v>
      </c>
      <c r="L410" s="3024">
        <f t="shared" si="28"/>
        <v>84.17</v>
      </c>
      <c r="M410" s="3024"/>
    </row>
    <row r="411" spans="1:13">
      <c r="A411" s="3024"/>
      <c r="B411" s="3024"/>
      <c r="C411" s="3024">
        <v>-206</v>
      </c>
      <c r="D411" s="3024"/>
      <c r="E411" s="3024">
        <v>84.17</v>
      </c>
      <c r="F411" s="3024"/>
      <c r="G411" s="3024">
        <f t="shared" si="29"/>
        <v>84.17</v>
      </c>
      <c r="H411" s="3024"/>
      <c r="I411" s="3024"/>
      <c r="J411" s="3024"/>
      <c r="K411" s="3024">
        <f t="shared" si="23"/>
        <v>84.17</v>
      </c>
      <c r="L411" s="3024">
        <f t="shared" si="28"/>
        <v>84.17</v>
      </c>
      <c r="M411" s="3024"/>
    </row>
    <row r="412" spans="1:13">
      <c r="A412" s="3024"/>
      <c r="B412" s="3024"/>
      <c r="C412" s="3024">
        <v>101</v>
      </c>
      <c r="D412" s="3024">
        <v>134.29</v>
      </c>
      <c r="E412" s="3024">
        <v>84.35</v>
      </c>
      <c r="F412" s="3024"/>
      <c r="G412" s="3024">
        <f t="shared" si="29"/>
        <v>218.64</v>
      </c>
      <c r="H412" s="3024"/>
      <c r="I412" s="3024"/>
      <c r="J412" s="3024">
        <f>J400</f>
        <v>108.67</v>
      </c>
      <c r="K412" s="3024">
        <f t="shared" si="23"/>
        <v>109.96999999999998</v>
      </c>
      <c r="L412" s="3024">
        <f t="shared" si="28"/>
        <v>218.64</v>
      </c>
      <c r="M412" s="3024">
        <f>J412+J413+J414+J415+J416+J417</f>
        <v>652.01</v>
      </c>
    </row>
    <row r="413" spans="1:13">
      <c r="A413" s="3024"/>
      <c r="B413" s="3024"/>
      <c r="C413" s="3024">
        <v>102</v>
      </c>
      <c r="D413" s="3024">
        <v>134.28</v>
      </c>
      <c r="E413" s="3024">
        <v>84.49</v>
      </c>
      <c r="F413" s="3024"/>
      <c r="G413" s="3024">
        <f t="shared" si="29"/>
        <v>218.76999999999998</v>
      </c>
      <c r="H413" s="3024"/>
      <c r="I413" s="3024"/>
      <c r="J413" s="3024">
        <f>J412</f>
        <v>108.67</v>
      </c>
      <c r="K413" s="3024">
        <f t="shared" si="23"/>
        <v>110.09999999999998</v>
      </c>
      <c r="L413" s="3024">
        <f t="shared" si="28"/>
        <v>218.76999999999998</v>
      </c>
      <c r="M413" s="3024"/>
    </row>
    <row r="414" spans="1:13">
      <c r="A414" s="3024"/>
      <c r="B414" s="3024"/>
      <c r="C414" s="3024">
        <v>103</v>
      </c>
      <c r="D414" s="3024">
        <v>134.47</v>
      </c>
      <c r="E414" s="3024">
        <v>84.77</v>
      </c>
      <c r="F414" s="3024"/>
      <c r="G414" s="3024">
        <f t="shared" si="29"/>
        <v>219.24</v>
      </c>
      <c r="H414" s="3024"/>
      <c r="I414" s="3024"/>
      <c r="J414" s="3024">
        <f>J412</f>
        <v>108.67</v>
      </c>
      <c r="K414" s="3024">
        <f t="shared" si="23"/>
        <v>110.57000000000001</v>
      </c>
      <c r="L414" s="3024">
        <f t="shared" si="28"/>
        <v>219.24</v>
      </c>
      <c r="M414" s="3024"/>
    </row>
    <row r="415" spans="1:13">
      <c r="A415" s="3024"/>
      <c r="B415" s="3024"/>
      <c r="C415" s="3024">
        <v>104</v>
      </c>
      <c r="D415" s="3024">
        <v>134.29</v>
      </c>
      <c r="E415" s="3024">
        <v>84.35</v>
      </c>
      <c r="F415" s="3024"/>
      <c r="G415" s="3024">
        <f t="shared" si="29"/>
        <v>218.64</v>
      </c>
      <c r="H415" s="3024"/>
      <c r="I415" s="3024"/>
      <c r="J415" s="3024">
        <f>J412</f>
        <v>108.67</v>
      </c>
      <c r="K415" s="3024">
        <f t="shared" si="23"/>
        <v>109.96999999999998</v>
      </c>
      <c r="L415" s="3024">
        <f t="shared" si="28"/>
        <v>218.64</v>
      </c>
      <c r="M415" s="3024"/>
    </row>
    <row r="416" spans="1:13">
      <c r="A416" s="3024"/>
      <c r="B416" s="3024"/>
      <c r="C416" s="3024">
        <v>105</v>
      </c>
      <c r="D416" s="3024">
        <v>134.28</v>
      </c>
      <c r="E416" s="3024">
        <v>84.49</v>
      </c>
      <c r="F416" s="3024"/>
      <c r="G416" s="3024">
        <f t="shared" si="29"/>
        <v>218.76999999999998</v>
      </c>
      <c r="H416" s="3024"/>
      <c r="I416" s="3024"/>
      <c r="J416" s="3024">
        <f>J412</f>
        <v>108.67</v>
      </c>
      <c r="K416" s="3024">
        <f t="shared" si="23"/>
        <v>110.09999999999998</v>
      </c>
      <c r="L416" s="3024">
        <f t="shared" si="28"/>
        <v>218.76999999999998</v>
      </c>
      <c r="M416" s="3024"/>
    </row>
    <row r="417" spans="1:13">
      <c r="A417" s="3024"/>
      <c r="B417" s="3024"/>
      <c r="C417" s="3024">
        <v>106</v>
      </c>
      <c r="D417" s="3024">
        <v>134.47</v>
      </c>
      <c r="E417" s="3024">
        <v>84.77</v>
      </c>
      <c r="F417" s="3024"/>
      <c r="G417" s="3024">
        <f t="shared" si="29"/>
        <v>219.24</v>
      </c>
      <c r="H417" s="3024"/>
      <c r="I417" s="3024"/>
      <c r="J417" s="3024">
        <f>J405</f>
        <v>108.66</v>
      </c>
      <c r="K417" s="3024">
        <f t="shared" si="23"/>
        <v>110.58000000000001</v>
      </c>
      <c r="L417" s="3024">
        <f t="shared" si="28"/>
        <v>219.24</v>
      </c>
      <c r="M417" s="3024"/>
    </row>
    <row r="418" spans="1:13">
      <c r="A418" s="3024" t="s">
        <v>3115</v>
      </c>
      <c r="B418" s="3024">
        <v>6</v>
      </c>
      <c r="C418" s="3024">
        <v>-201</v>
      </c>
      <c r="D418" s="3024"/>
      <c r="E418" s="3024">
        <v>83.43</v>
      </c>
      <c r="F418" s="3024"/>
      <c r="G418" s="3024">
        <f t="shared" si="2"/>
        <v>83.43</v>
      </c>
      <c r="H418" s="3024">
        <f>SUM(G418:G429)</f>
        <v>1815.6799999999998</v>
      </c>
      <c r="I418" s="3024"/>
      <c r="J418" s="3024"/>
      <c r="K418" s="3024">
        <f t="shared" si="23"/>
        <v>83.43</v>
      </c>
      <c r="L418" s="3024">
        <f t="shared" si="28"/>
        <v>83.43</v>
      </c>
      <c r="M418" s="3024"/>
    </row>
    <row r="419" spans="1:13">
      <c r="A419" s="3024"/>
      <c r="B419" s="3024"/>
      <c r="C419" s="3024">
        <v>-202</v>
      </c>
      <c r="D419" s="3024"/>
      <c r="E419" s="3024">
        <v>84.15</v>
      </c>
      <c r="F419" s="3024"/>
      <c r="G419" s="3024">
        <f t="shared" ref="G419:G429" si="30">SUM(D419:F419)</f>
        <v>84.15</v>
      </c>
      <c r="H419" s="3024"/>
      <c r="I419" s="3024"/>
      <c r="J419" s="3024"/>
      <c r="K419" s="3024">
        <f t="shared" si="23"/>
        <v>84.15</v>
      </c>
      <c r="L419" s="3024">
        <f t="shared" si="28"/>
        <v>84.15</v>
      </c>
      <c r="M419" s="3024"/>
    </row>
    <row r="420" spans="1:13">
      <c r="A420" s="3024"/>
      <c r="B420" s="3024"/>
      <c r="C420" s="3024">
        <v>-203</v>
      </c>
      <c r="D420" s="3024"/>
      <c r="E420" s="3024">
        <v>84.15</v>
      </c>
      <c r="F420" s="3024"/>
      <c r="G420" s="3024">
        <f t="shared" si="30"/>
        <v>84.15</v>
      </c>
      <c r="H420" s="3024"/>
      <c r="I420" s="3024"/>
      <c r="J420" s="3024"/>
      <c r="K420" s="3024">
        <f t="shared" si="23"/>
        <v>84.15</v>
      </c>
      <c r="L420" s="3024">
        <f t="shared" si="28"/>
        <v>84.15</v>
      </c>
      <c r="M420" s="3024"/>
    </row>
    <row r="421" spans="1:13">
      <c r="A421" s="3024"/>
      <c r="B421" s="3024"/>
      <c r="C421" s="3024">
        <v>-204</v>
      </c>
      <c r="D421" s="3024"/>
      <c r="E421" s="3024">
        <v>83.43</v>
      </c>
      <c r="F421" s="3024"/>
      <c r="G421" s="3024">
        <f t="shared" si="30"/>
        <v>83.43</v>
      </c>
      <c r="H421" s="3024"/>
      <c r="I421" s="3024"/>
      <c r="J421" s="3024"/>
      <c r="K421" s="3024">
        <f t="shared" si="23"/>
        <v>83.43</v>
      </c>
      <c r="L421" s="3024">
        <f t="shared" si="28"/>
        <v>83.43</v>
      </c>
      <c r="M421" s="3024"/>
    </row>
    <row r="422" spans="1:13">
      <c r="A422" s="3024"/>
      <c r="B422" s="3024"/>
      <c r="C422" s="3024">
        <v>-205</v>
      </c>
      <c r="D422" s="3024"/>
      <c r="E422" s="3024">
        <v>84.15</v>
      </c>
      <c r="F422" s="3024"/>
      <c r="G422" s="3024">
        <f t="shared" si="30"/>
        <v>84.15</v>
      </c>
      <c r="H422" s="3024"/>
      <c r="I422" s="3024"/>
      <c r="J422" s="3024"/>
      <c r="K422" s="3024">
        <f t="shared" si="23"/>
        <v>84.15</v>
      </c>
      <c r="L422" s="3024">
        <f t="shared" si="28"/>
        <v>84.15</v>
      </c>
      <c r="M422" s="3024"/>
    </row>
    <row r="423" spans="1:13">
      <c r="A423" s="3024"/>
      <c r="B423" s="3024"/>
      <c r="C423" s="3024">
        <v>-206</v>
      </c>
      <c r="D423" s="3024"/>
      <c r="E423" s="3024">
        <v>84.15</v>
      </c>
      <c r="F423" s="3024"/>
      <c r="G423" s="3024">
        <f t="shared" si="30"/>
        <v>84.15</v>
      </c>
      <c r="H423" s="3024"/>
      <c r="I423" s="3024"/>
      <c r="J423" s="3024"/>
      <c r="K423" s="3024">
        <f t="shared" si="23"/>
        <v>84.15</v>
      </c>
      <c r="L423" s="3024">
        <f t="shared" si="28"/>
        <v>84.15</v>
      </c>
      <c r="M423" s="3024"/>
    </row>
    <row r="424" spans="1:13">
      <c r="A424" s="3024"/>
      <c r="B424" s="3024"/>
      <c r="C424" s="3024">
        <v>101</v>
      </c>
      <c r="D424" s="3024">
        <v>134.18</v>
      </c>
      <c r="E424" s="3024">
        <v>84.28</v>
      </c>
      <c r="F424" s="3024"/>
      <c r="G424" s="3024">
        <f t="shared" si="30"/>
        <v>218.46</v>
      </c>
      <c r="H424" s="3024"/>
      <c r="I424" s="3024"/>
      <c r="J424" s="3024">
        <f>J412</f>
        <v>108.67</v>
      </c>
      <c r="K424" s="3024">
        <f t="shared" si="23"/>
        <v>109.79</v>
      </c>
      <c r="L424" s="3024">
        <f t="shared" si="28"/>
        <v>218.46</v>
      </c>
      <c r="M424" s="3024">
        <f>J424+J425+J426+J427+J428+J429</f>
        <v>652.01</v>
      </c>
    </row>
    <row r="425" spans="1:13">
      <c r="A425" s="3024"/>
      <c r="B425" s="3024"/>
      <c r="C425" s="3024">
        <v>102</v>
      </c>
      <c r="D425" s="3024">
        <v>134.16999999999999</v>
      </c>
      <c r="E425" s="3024">
        <v>84.42</v>
      </c>
      <c r="F425" s="3024"/>
      <c r="G425" s="3024">
        <f t="shared" si="30"/>
        <v>218.58999999999997</v>
      </c>
      <c r="H425" s="3024"/>
      <c r="I425" s="3024"/>
      <c r="J425" s="3024">
        <f>J424</f>
        <v>108.67</v>
      </c>
      <c r="K425" s="3024">
        <f t="shared" si="23"/>
        <v>109.91999999999997</v>
      </c>
      <c r="L425" s="3024">
        <f t="shared" si="28"/>
        <v>218.58999999999997</v>
      </c>
      <c r="M425" s="3024"/>
    </row>
    <row r="426" spans="1:13">
      <c r="A426" s="3024"/>
      <c r="B426" s="3024"/>
      <c r="C426" s="3024">
        <v>103</v>
      </c>
      <c r="D426" s="3024">
        <v>134.36000000000001</v>
      </c>
      <c r="E426" s="3024">
        <v>84.7</v>
      </c>
      <c r="F426" s="3024"/>
      <c r="G426" s="3024">
        <f t="shared" si="30"/>
        <v>219.06</v>
      </c>
      <c r="H426" s="3024"/>
      <c r="I426" s="3024"/>
      <c r="J426" s="3024">
        <f>J424</f>
        <v>108.67</v>
      </c>
      <c r="K426" s="3024">
        <f t="shared" si="23"/>
        <v>110.39</v>
      </c>
      <c r="L426" s="3024">
        <f t="shared" si="28"/>
        <v>219.06</v>
      </c>
      <c r="M426" s="3024"/>
    </row>
    <row r="427" spans="1:13">
      <c r="A427" s="3024"/>
      <c r="B427" s="3024"/>
      <c r="C427" s="3024">
        <v>104</v>
      </c>
      <c r="D427" s="3024">
        <v>134.18</v>
      </c>
      <c r="E427" s="3024">
        <v>84.28</v>
      </c>
      <c r="F427" s="3024"/>
      <c r="G427" s="3024">
        <f t="shared" si="30"/>
        <v>218.46</v>
      </c>
      <c r="H427" s="3024"/>
      <c r="I427" s="3024"/>
      <c r="J427" s="3024">
        <f>J424</f>
        <v>108.67</v>
      </c>
      <c r="K427" s="3024">
        <f t="shared" si="23"/>
        <v>109.79</v>
      </c>
      <c r="L427" s="3024">
        <f t="shared" si="28"/>
        <v>218.46</v>
      </c>
      <c r="M427" s="3024"/>
    </row>
    <row r="428" spans="1:13">
      <c r="A428" s="3024"/>
      <c r="B428" s="3024"/>
      <c r="C428" s="3024">
        <v>105</v>
      </c>
      <c r="D428" s="3024">
        <v>134.16999999999999</v>
      </c>
      <c r="E428" s="3024">
        <v>84.42</v>
      </c>
      <c r="F428" s="3024"/>
      <c r="G428" s="3024">
        <f t="shared" si="30"/>
        <v>218.58999999999997</v>
      </c>
      <c r="H428" s="3024"/>
      <c r="I428" s="3024"/>
      <c r="J428" s="3024">
        <f>J424</f>
        <v>108.67</v>
      </c>
      <c r="K428" s="3024">
        <f t="shared" si="23"/>
        <v>109.91999999999997</v>
      </c>
      <c r="L428" s="3024">
        <f t="shared" si="28"/>
        <v>218.58999999999997</v>
      </c>
      <c r="M428" s="3024"/>
    </row>
    <row r="429" spans="1:13">
      <c r="A429" s="3024"/>
      <c r="B429" s="3024"/>
      <c r="C429" s="3024">
        <v>106</v>
      </c>
      <c r="D429" s="3024">
        <v>134.36000000000001</v>
      </c>
      <c r="E429" s="3024">
        <v>84.7</v>
      </c>
      <c r="F429" s="3024"/>
      <c r="G429" s="3024">
        <f t="shared" si="30"/>
        <v>219.06</v>
      </c>
      <c r="H429" s="3024"/>
      <c r="I429" s="3024"/>
      <c r="J429" s="3024">
        <f>J417</f>
        <v>108.66</v>
      </c>
      <c r="K429" s="3024">
        <f t="shared" si="23"/>
        <v>110.4</v>
      </c>
      <c r="L429" s="3024">
        <f t="shared" si="28"/>
        <v>219.06</v>
      </c>
      <c r="M429" s="3024"/>
    </row>
    <row r="430" spans="1:13">
      <c r="A430" s="3024" t="s">
        <v>3116</v>
      </c>
      <c r="B430" s="3024">
        <v>4</v>
      </c>
      <c r="C430" s="3024">
        <v>-201</v>
      </c>
      <c r="D430" s="3024"/>
      <c r="E430" s="3024">
        <v>83.59</v>
      </c>
      <c r="F430" s="3024"/>
      <c r="G430" s="3024">
        <f t="shared" si="2"/>
        <v>83.59</v>
      </c>
      <c r="H430" s="3024">
        <f>SUM(G430:G437)</f>
        <v>1213.4000000000001</v>
      </c>
      <c r="I430" s="3024"/>
      <c r="J430" s="3024"/>
      <c r="K430" s="3024">
        <f t="shared" si="23"/>
        <v>83.59</v>
      </c>
      <c r="L430" s="3024">
        <f t="shared" si="28"/>
        <v>83.59</v>
      </c>
      <c r="M430" s="3024"/>
    </row>
    <row r="431" spans="1:13">
      <c r="A431" s="3024"/>
      <c r="B431" s="3024"/>
      <c r="C431" s="3024">
        <v>-202</v>
      </c>
      <c r="D431" s="3024"/>
      <c r="E431" s="3024">
        <v>84.31</v>
      </c>
      <c r="F431" s="3024"/>
      <c r="G431" s="3024">
        <f>SUM(D431:F431)</f>
        <v>84.31</v>
      </c>
      <c r="H431" s="3024"/>
      <c r="I431" s="3024"/>
      <c r="J431" s="3024"/>
      <c r="K431" s="3024">
        <f t="shared" si="23"/>
        <v>84.31</v>
      </c>
      <c r="L431" s="3024">
        <f t="shared" si="28"/>
        <v>84.31</v>
      </c>
      <c r="M431" s="3024"/>
    </row>
    <row r="432" spans="1:13">
      <c r="A432" s="3024"/>
      <c r="B432" s="3024"/>
      <c r="C432" s="3024">
        <v>-203</v>
      </c>
      <c r="D432" s="3024"/>
      <c r="E432" s="3024">
        <v>83.59</v>
      </c>
      <c r="F432" s="3024"/>
      <c r="G432" s="3024">
        <f t="shared" ref="G432:G433" si="31">SUM(D432:F432)</f>
        <v>83.59</v>
      </c>
      <c r="H432" s="3024"/>
      <c r="I432" s="3024"/>
      <c r="J432" s="3024"/>
      <c r="K432" s="3024">
        <f t="shared" si="23"/>
        <v>83.59</v>
      </c>
      <c r="L432" s="3024">
        <f t="shared" si="28"/>
        <v>83.59</v>
      </c>
      <c r="M432" s="3024"/>
    </row>
    <row r="433" spans="1:13">
      <c r="A433" s="3024"/>
      <c r="B433" s="3024"/>
      <c r="C433" s="3024">
        <v>-204</v>
      </c>
      <c r="D433" s="3024"/>
      <c r="E433" s="3024">
        <v>84.31</v>
      </c>
      <c r="F433" s="3024"/>
      <c r="G433" s="3024">
        <f t="shared" si="31"/>
        <v>84.31</v>
      </c>
      <c r="H433" s="3024"/>
      <c r="I433" s="3024"/>
      <c r="J433" s="3024"/>
      <c r="K433" s="3024">
        <f t="shared" si="23"/>
        <v>84.31</v>
      </c>
      <c r="L433" s="3024">
        <f t="shared" si="28"/>
        <v>84.31</v>
      </c>
      <c r="M433" s="3024"/>
    </row>
    <row r="434" spans="1:13">
      <c r="A434" s="3024"/>
      <c r="B434" s="3024"/>
      <c r="C434" s="3024">
        <v>101</v>
      </c>
      <c r="D434" s="3024">
        <v>134.56</v>
      </c>
      <c r="E434" s="3024">
        <v>84.54</v>
      </c>
      <c r="F434" s="3024"/>
      <c r="G434" s="3024">
        <f>SUM(D434:F434)</f>
        <v>219.10000000000002</v>
      </c>
      <c r="H434" s="3024"/>
      <c r="I434" s="3024"/>
      <c r="J434" s="3026">
        <f>435.56/4</f>
        <v>108.89</v>
      </c>
      <c r="K434" s="3024">
        <f t="shared" si="23"/>
        <v>110.21000000000002</v>
      </c>
      <c r="L434" s="3024">
        <f t="shared" si="28"/>
        <v>219.10000000000002</v>
      </c>
      <c r="M434" s="3027">
        <f>J434+J435+J436+J437</f>
        <v>435.56</v>
      </c>
    </row>
    <row r="435" spans="1:13">
      <c r="A435" s="3024"/>
      <c r="B435" s="3024"/>
      <c r="C435" s="3024">
        <v>102</v>
      </c>
      <c r="D435" s="3024">
        <v>134.75</v>
      </c>
      <c r="E435" s="3024">
        <v>84.95</v>
      </c>
      <c r="F435" s="3024"/>
      <c r="G435" s="3024">
        <f>SUM(D435:F435)</f>
        <v>219.7</v>
      </c>
      <c r="H435" s="3024"/>
      <c r="I435" s="3024"/>
      <c r="J435" s="3024">
        <f>J434</f>
        <v>108.89</v>
      </c>
      <c r="K435" s="3024">
        <f t="shared" si="23"/>
        <v>110.80999999999999</v>
      </c>
      <c r="L435" s="3024">
        <f t="shared" si="28"/>
        <v>219.7</v>
      </c>
      <c r="M435" s="3024"/>
    </row>
    <row r="436" spans="1:13">
      <c r="A436" s="3024"/>
      <c r="B436" s="3024"/>
      <c r="C436" s="3024">
        <v>103</v>
      </c>
      <c r="D436" s="3024">
        <v>134.56</v>
      </c>
      <c r="E436" s="3024">
        <v>84.54</v>
      </c>
      <c r="F436" s="3024"/>
      <c r="G436" s="3024">
        <f>SUM(D436:F436)</f>
        <v>219.10000000000002</v>
      </c>
      <c r="H436" s="3024"/>
      <c r="I436" s="3024"/>
      <c r="J436" s="3024">
        <f>J434</f>
        <v>108.89</v>
      </c>
      <c r="K436" s="3024">
        <f t="shared" si="23"/>
        <v>110.21000000000002</v>
      </c>
      <c r="L436" s="3024">
        <f t="shared" si="28"/>
        <v>219.10000000000002</v>
      </c>
      <c r="M436" s="3024"/>
    </row>
    <row r="437" spans="1:13">
      <c r="A437" s="3024"/>
      <c r="B437" s="3024"/>
      <c r="C437" s="3024">
        <v>104</v>
      </c>
      <c r="D437" s="3024">
        <v>134.75</v>
      </c>
      <c r="E437" s="3024">
        <v>84.95</v>
      </c>
      <c r="F437" s="3024"/>
      <c r="G437" s="3024">
        <f>SUM(D437:F437)</f>
        <v>219.7</v>
      </c>
      <c r="H437" s="3024"/>
      <c r="I437" s="3024"/>
      <c r="J437" s="3024">
        <f>J434</f>
        <v>108.89</v>
      </c>
      <c r="K437" s="3024">
        <f t="shared" si="23"/>
        <v>110.80999999999999</v>
      </c>
      <c r="L437" s="3024">
        <f t="shared" si="28"/>
        <v>219.7</v>
      </c>
      <c r="M437" s="3024"/>
    </row>
    <row r="438" spans="1:13">
      <c r="A438" s="3024" t="s">
        <v>3117</v>
      </c>
      <c r="B438" s="3024">
        <v>4</v>
      </c>
      <c r="C438" s="3024">
        <v>-201</v>
      </c>
      <c r="D438" s="3024"/>
      <c r="E438" s="3024">
        <v>84.36</v>
      </c>
      <c r="F438" s="3024"/>
      <c r="G438" s="3024">
        <f t="shared" si="2"/>
        <v>84.36</v>
      </c>
      <c r="H438" s="3024">
        <f>SUM(G438:G445)</f>
        <v>1240.74</v>
      </c>
      <c r="I438" s="3024"/>
      <c r="J438" s="3024"/>
      <c r="K438" s="3024">
        <f t="shared" si="23"/>
        <v>84.36</v>
      </c>
      <c r="L438" s="3024">
        <f t="shared" si="28"/>
        <v>84.36</v>
      </c>
      <c r="M438" s="3024"/>
    </row>
    <row r="439" spans="1:13">
      <c r="A439" s="3024"/>
      <c r="B439" s="3024"/>
      <c r="C439" s="3024">
        <v>-202</v>
      </c>
      <c r="D439" s="3024"/>
      <c r="E439" s="3024">
        <v>85.08</v>
      </c>
      <c r="F439" s="3024"/>
      <c r="G439" s="3024">
        <f t="shared" ref="G439:G445" si="32">SUM(D439:F439)</f>
        <v>85.08</v>
      </c>
      <c r="H439" s="3024"/>
      <c r="I439" s="3024"/>
      <c r="J439" s="3024"/>
      <c r="K439" s="3024">
        <f t="shared" si="23"/>
        <v>85.08</v>
      </c>
      <c r="L439" s="3024">
        <f t="shared" si="28"/>
        <v>85.08</v>
      </c>
      <c r="M439" s="3024"/>
    </row>
    <row r="440" spans="1:13">
      <c r="A440" s="3024"/>
      <c r="B440" s="3024"/>
      <c r="C440" s="3024">
        <v>-203</v>
      </c>
      <c r="D440" s="3024"/>
      <c r="E440" s="3024">
        <v>85.08</v>
      </c>
      <c r="F440" s="3024"/>
      <c r="G440" s="3024">
        <f t="shared" si="32"/>
        <v>85.08</v>
      </c>
      <c r="H440" s="3024"/>
      <c r="I440" s="3024"/>
      <c r="J440" s="3024"/>
      <c r="K440" s="3024">
        <f t="shared" si="23"/>
        <v>85.08</v>
      </c>
      <c r="L440" s="3024">
        <f t="shared" si="28"/>
        <v>85.08</v>
      </c>
      <c r="M440" s="3024"/>
    </row>
    <row r="441" spans="1:13">
      <c r="A441" s="3024"/>
      <c r="B441" s="3024"/>
      <c r="C441" s="3024">
        <v>-204</v>
      </c>
      <c r="D441" s="3024"/>
      <c r="E441" s="3024">
        <v>85.08</v>
      </c>
      <c r="F441" s="3024"/>
      <c r="G441" s="3024">
        <f t="shared" si="32"/>
        <v>85.08</v>
      </c>
      <c r="H441" s="3024"/>
      <c r="I441" s="3024"/>
      <c r="J441" s="3024"/>
      <c r="K441" s="3024">
        <f t="shared" si="23"/>
        <v>85.08</v>
      </c>
      <c r="L441" s="3024">
        <f t="shared" si="28"/>
        <v>85.08</v>
      </c>
      <c r="M441" s="3024"/>
    </row>
    <row r="442" spans="1:13">
      <c r="A442" s="3024"/>
      <c r="B442" s="3024"/>
      <c r="C442" s="3024">
        <v>101</v>
      </c>
      <c r="D442" s="3024">
        <v>138.47999999999999</v>
      </c>
      <c r="E442" s="3024">
        <v>86.48</v>
      </c>
      <c r="F442" s="3024"/>
      <c r="G442" s="3024">
        <f t="shared" si="32"/>
        <v>224.95999999999998</v>
      </c>
      <c r="H442" s="3024"/>
      <c r="I442" s="3024"/>
      <c r="J442" s="3028">
        <f>ROUND(449.59/4,2)</f>
        <v>112.4</v>
      </c>
      <c r="K442" s="3024">
        <f t="shared" si="23"/>
        <v>112.55999999999997</v>
      </c>
      <c r="L442" s="3024">
        <f t="shared" si="28"/>
        <v>224.95999999999998</v>
      </c>
      <c r="M442" s="3027">
        <f>J442+J443+J444+J445</f>
        <v>449.59</v>
      </c>
    </row>
    <row r="443" spans="1:13">
      <c r="A443" s="3024"/>
      <c r="B443" s="3024"/>
      <c r="C443" s="3024">
        <v>102</v>
      </c>
      <c r="D443" s="3024">
        <v>138.47999999999999</v>
      </c>
      <c r="E443" s="3024">
        <v>86.63</v>
      </c>
      <c r="F443" s="3024"/>
      <c r="G443" s="3024">
        <f t="shared" si="32"/>
        <v>225.10999999999999</v>
      </c>
      <c r="H443" s="3024"/>
      <c r="I443" s="3024"/>
      <c r="J443" s="3024">
        <f>J442</f>
        <v>112.4</v>
      </c>
      <c r="K443" s="3024">
        <f t="shared" si="23"/>
        <v>112.70999999999998</v>
      </c>
      <c r="L443" s="3024">
        <f t="shared" si="28"/>
        <v>225.10999999999999</v>
      </c>
      <c r="M443" s="3024"/>
    </row>
    <row r="444" spans="1:13">
      <c r="A444" s="3024"/>
      <c r="B444" s="3024"/>
      <c r="C444" s="3024">
        <v>103</v>
      </c>
      <c r="D444" s="3024">
        <v>138.47999999999999</v>
      </c>
      <c r="E444" s="3024">
        <v>86.77</v>
      </c>
      <c r="F444" s="3024"/>
      <c r="G444" s="3024">
        <f t="shared" si="32"/>
        <v>225.25</v>
      </c>
      <c r="H444" s="3024"/>
      <c r="I444" s="3024"/>
      <c r="J444" s="3024">
        <f>J442</f>
        <v>112.4</v>
      </c>
      <c r="K444" s="3024">
        <f t="shared" si="23"/>
        <v>112.85</v>
      </c>
      <c r="L444" s="3024">
        <f t="shared" si="28"/>
        <v>225.25</v>
      </c>
      <c r="M444" s="3024"/>
    </row>
    <row r="445" spans="1:13">
      <c r="A445" s="3024"/>
      <c r="B445" s="3024"/>
      <c r="C445" s="3024">
        <v>104</v>
      </c>
      <c r="D445" s="3024">
        <v>138.68</v>
      </c>
      <c r="E445" s="3024">
        <v>87.14</v>
      </c>
      <c r="F445" s="3024"/>
      <c r="G445" s="3024">
        <f t="shared" si="32"/>
        <v>225.82</v>
      </c>
      <c r="H445" s="3024"/>
      <c r="I445" s="3024"/>
      <c r="J445" s="3024">
        <f>449.59-J442-J443-J444</f>
        <v>112.38999999999993</v>
      </c>
      <c r="K445" s="3024">
        <f t="shared" si="23"/>
        <v>113.43000000000006</v>
      </c>
      <c r="L445" s="3024">
        <f t="shared" si="28"/>
        <v>225.82</v>
      </c>
      <c r="M445" s="3024"/>
    </row>
    <row r="446" spans="1:13">
      <c r="A446" s="3024" t="s">
        <v>3118</v>
      </c>
      <c r="B446" s="3024">
        <v>6</v>
      </c>
      <c r="C446" s="3024">
        <v>-201</v>
      </c>
      <c r="D446" s="3024"/>
      <c r="E446" s="3024">
        <v>83.44</v>
      </c>
      <c r="F446" s="3024"/>
      <c r="G446" s="3024">
        <f t="shared" si="2"/>
        <v>83.44</v>
      </c>
      <c r="H446" s="3024">
        <f>SUM(G446:G457)</f>
        <v>1816.3200000000002</v>
      </c>
      <c r="I446" s="3024"/>
      <c r="J446" s="3024"/>
      <c r="K446" s="3024">
        <f t="shared" si="23"/>
        <v>83.44</v>
      </c>
      <c r="L446" s="3024">
        <f t="shared" si="28"/>
        <v>83.44</v>
      </c>
      <c r="M446" s="3024"/>
    </row>
    <row r="447" spans="1:13">
      <c r="A447" s="3024"/>
      <c r="B447" s="3024"/>
      <c r="C447" s="3024">
        <v>-202</v>
      </c>
      <c r="D447" s="3024"/>
      <c r="E447" s="3024">
        <v>84.16</v>
      </c>
      <c r="F447" s="3024"/>
      <c r="G447" s="3024">
        <f t="shared" ref="G447:G457" si="33">SUM(D447:F447)</f>
        <v>84.16</v>
      </c>
      <c r="H447" s="3024"/>
      <c r="I447" s="3024"/>
      <c r="J447" s="3024"/>
      <c r="K447" s="3024">
        <f t="shared" si="23"/>
        <v>84.16</v>
      </c>
      <c r="L447" s="3024">
        <f t="shared" si="28"/>
        <v>84.16</v>
      </c>
      <c r="M447" s="3024"/>
    </row>
    <row r="448" spans="1:13">
      <c r="A448" s="3024"/>
      <c r="B448" s="3024"/>
      <c r="C448" s="3024">
        <v>-203</v>
      </c>
      <c r="D448" s="3024"/>
      <c r="E448" s="3024">
        <v>84.16</v>
      </c>
      <c r="F448" s="3024"/>
      <c r="G448" s="3024">
        <f t="shared" si="33"/>
        <v>84.16</v>
      </c>
      <c r="H448" s="3024"/>
      <c r="I448" s="3024"/>
      <c r="J448" s="3024"/>
      <c r="K448" s="3024">
        <f t="shared" si="23"/>
        <v>84.16</v>
      </c>
      <c r="L448" s="3024">
        <f t="shared" si="28"/>
        <v>84.16</v>
      </c>
      <c r="M448" s="3024"/>
    </row>
    <row r="449" spans="1:13">
      <c r="A449" s="3024"/>
      <c r="B449" s="3024"/>
      <c r="C449" s="3024">
        <v>-204</v>
      </c>
      <c r="D449" s="3024"/>
      <c r="E449" s="3024">
        <v>83.44</v>
      </c>
      <c r="F449" s="3024"/>
      <c r="G449" s="3024">
        <f t="shared" si="33"/>
        <v>83.44</v>
      </c>
      <c r="H449" s="3024"/>
      <c r="I449" s="3024"/>
      <c r="J449" s="3024"/>
      <c r="K449" s="3024">
        <f t="shared" si="23"/>
        <v>83.44</v>
      </c>
      <c r="L449" s="3024">
        <f t="shared" si="28"/>
        <v>83.44</v>
      </c>
      <c r="M449" s="3024"/>
    </row>
    <row r="450" spans="1:13">
      <c r="A450" s="3024"/>
      <c r="B450" s="3024"/>
      <c r="C450" s="3024">
        <v>-205</v>
      </c>
      <c r="D450" s="3024"/>
      <c r="E450" s="3024">
        <v>84.16</v>
      </c>
      <c r="F450" s="3024"/>
      <c r="G450" s="3024">
        <f t="shared" si="33"/>
        <v>84.16</v>
      </c>
      <c r="H450" s="3024"/>
      <c r="I450" s="3024"/>
      <c r="J450" s="3024"/>
      <c r="K450" s="3024">
        <f t="shared" si="23"/>
        <v>84.16</v>
      </c>
      <c r="L450" s="3024">
        <f t="shared" si="28"/>
        <v>84.16</v>
      </c>
      <c r="M450" s="3024"/>
    </row>
    <row r="451" spans="1:13">
      <c r="A451" s="3024"/>
      <c r="B451" s="3024"/>
      <c r="C451" s="3024">
        <v>-206</v>
      </c>
      <c r="D451" s="3024"/>
      <c r="E451" s="3024">
        <v>84.16</v>
      </c>
      <c r="F451" s="3024"/>
      <c r="G451" s="3024">
        <f t="shared" si="33"/>
        <v>84.16</v>
      </c>
      <c r="H451" s="3024"/>
      <c r="I451" s="3024"/>
      <c r="J451" s="3024"/>
      <c r="K451" s="3024">
        <f t="shared" si="23"/>
        <v>84.16</v>
      </c>
      <c r="L451" s="3024">
        <f t="shared" si="28"/>
        <v>84.16</v>
      </c>
      <c r="M451" s="3024"/>
    </row>
    <row r="452" spans="1:13">
      <c r="A452" s="3024"/>
      <c r="B452" s="3024"/>
      <c r="C452" s="3024">
        <v>101</v>
      </c>
      <c r="D452" s="3024">
        <v>134.22999999999999</v>
      </c>
      <c r="E452" s="3024">
        <v>84.32</v>
      </c>
      <c r="F452" s="3024"/>
      <c r="G452" s="3024">
        <f t="shared" si="33"/>
        <v>218.54999999999998</v>
      </c>
      <c r="H452" s="3024"/>
      <c r="I452" s="3024"/>
      <c r="J452" s="3024">
        <f>J424</f>
        <v>108.67</v>
      </c>
      <c r="K452" s="3024">
        <f t="shared" si="23"/>
        <v>109.87999999999998</v>
      </c>
      <c r="L452" s="3024">
        <f t="shared" si="28"/>
        <v>218.54999999999998</v>
      </c>
      <c r="M452" s="3024">
        <f>J452+J453+J454+J455+J456+J457</f>
        <v>652.01</v>
      </c>
    </row>
    <row r="453" spans="1:13">
      <c r="A453" s="3024"/>
      <c r="B453" s="3024"/>
      <c r="C453" s="3024">
        <v>102</v>
      </c>
      <c r="D453" s="3024">
        <v>134.22999999999999</v>
      </c>
      <c r="E453" s="3024">
        <v>84.46</v>
      </c>
      <c r="F453" s="3024"/>
      <c r="G453" s="3024">
        <f t="shared" si="33"/>
        <v>218.69</v>
      </c>
      <c r="H453" s="3024"/>
      <c r="I453" s="3024"/>
      <c r="J453" s="3024">
        <f>J452</f>
        <v>108.67</v>
      </c>
      <c r="K453" s="3024">
        <f t="shared" si="23"/>
        <v>110.02</v>
      </c>
      <c r="L453" s="3024">
        <f t="shared" si="28"/>
        <v>218.69</v>
      </c>
      <c r="M453" s="3024"/>
    </row>
    <row r="454" spans="1:13">
      <c r="A454" s="3024"/>
      <c r="B454" s="3024"/>
      <c r="C454" s="3024">
        <v>103</v>
      </c>
      <c r="D454" s="3024">
        <v>134.43</v>
      </c>
      <c r="E454" s="3024">
        <v>84.73</v>
      </c>
      <c r="F454" s="3024"/>
      <c r="G454" s="3024">
        <f t="shared" si="33"/>
        <v>219.16000000000003</v>
      </c>
      <c r="H454" s="3024"/>
      <c r="I454" s="3024"/>
      <c r="J454" s="3024">
        <f>J452</f>
        <v>108.67</v>
      </c>
      <c r="K454" s="3024">
        <f t="shared" si="23"/>
        <v>110.49000000000002</v>
      </c>
      <c r="L454" s="3024">
        <f t="shared" si="28"/>
        <v>219.16000000000003</v>
      </c>
      <c r="M454" s="3024"/>
    </row>
    <row r="455" spans="1:13">
      <c r="A455" s="3024"/>
      <c r="B455" s="3024"/>
      <c r="C455" s="3024">
        <v>104</v>
      </c>
      <c r="D455" s="3024">
        <v>134.22999999999999</v>
      </c>
      <c r="E455" s="3024">
        <v>84.32</v>
      </c>
      <c r="F455" s="3024"/>
      <c r="G455" s="3024">
        <f>SUM(D455:F455)</f>
        <v>218.54999999999998</v>
      </c>
      <c r="H455" s="3024"/>
      <c r="I455" s="3024"/>
      <c r="J455" s="3024">
        <f>J452</f>
        <v>108.67</v>
      </c>
      <c r="K455" s="3024">
        <f t="shared" si="23"/>
        <v>109.87999999999998</v>
      </c>
      <c r="L455" s="3024">
        <f t="shared" si="28"/>
        <v>218.54999999999998</v>
      </c>
      <c r="M455" s="3024"/>
    </row>
    <row r="456" spans="1:13">
      <c r="A456" s="3024"/>
      <c r="B456" s="3024"/>
      <c r="C456" s="3024">
        <v>105</v>
      </c>
      <c r="D456" s="3024">
        <v>134.22999999999999</v>
      </c>
      <c r="E456" s="3024">
        <v>84.46</v>
      </c>
      <c r="F456" s="3024"/>
      <c r="G456" s="3024">
        <f t="shared" si="33"/>
        <v>218.69</v>
      </c>
      <c r="H456" s="3024"/>
      <c r="I456" s="3024"/>
      <c r="J456" s="3024">
        <f>J452</f>
        <v>108.67</v>
      </c>
      <c r="K456" s="3024">
        <f t="shared" si="23"/>
        <v>110.02</v>
      </c>
      <c r="L456" s="3024">
        <f t="shared" si="28"/>
        <v>218.69</v>
      </c>
      <c r="M456" s="3024"/>
    </row>
    <row r="457" spans="1:13">
      <c r="A457" s="3024"/>
      <c r="B457" s="3024"/>
      <c r="C457" s="3024">
        <v>106</v>
      </c>
      <c r="D457" s="3024">
        <v>134.43</v>
      </c>
      <c r="E457" s="3024">
        <v>84.73</v>
      </c>
      <c r="F457" s="3024"/>
      <c r="G457" s="3024">
        <f t="shared" si="33"/>
        <v>219.16000000000003</v>
      </c>
      <c r="H457" s="3024"/>
      <c r="I457" s="3024"/>
      <c r="J457" s="3024">
        <f>J429</f>
        <v>108.66</v>
      </c>
      <c r="K457" s="3024">
        <f t="shared" si="23"/>
        <v>110.50000000000003</v>
      </c>
      <c r="L457" s="3024">
        <f t="shared" si="28"/>
        <v>219.16000000000003</v>
      </c>
      <c r="M457" s="3024"/>
    </row>
    <row r="458" spans="1:13">
      <c r="A458" s="3024" t="s">
        <v>3119</v>
      </c>
      <c r="B458" s="3024">
        <v>4</v>
      </c>
      <c r="C458" s="3024">
        <v>-201</v>
      </c>
      <c r="D458" s="3024"/>
      <c r="E458" s="3024">
        <v>84.46</v>
      </c>
      <c r="F458" s="3024"/>
      <c r="G458" s="3024">
        <f t="shared" si="2"/>
        <v>84.46</v>
      </c>
      <c r="H458" s="3024">
        <f>SUM(G458:G465)</f>
        <v>1240.81</v>
      </c>
      <c r="I458" s="3024"/>
      <c r="J458" s="3024"/>
      <c r="K458" s="3024">
        <f t="shared" si="23"/>
        <v>84.46</v>
      </c>
      <c r="L458" s="3024">
        <f t="shared" si="28"/>
        <v>84.46</v>
      </c>
      <c r="M458" s="3024"/>
    </row>
    <row r="459" spans="1:13">
      <c r="A459" s="3024"/>
      <c r="B459" s="3024"/>
      <c r="C459" s="3024">
        <v>-202</v>
      </c>
      <c r="D459" s="3024"/>
      <c r="E459" s="3024">
        <v>85.18</v>
      </c>
      <c r="F459" s="3024"/>
      <c r="G459" s="3024">
        <f t="shared" ref="G459:G463" si="34">SUM(D459:F459)</f>
        <v>85.18</v>
      </c>
      <c r="H459" s="3024"/>
      <c r="I459" s="3024"/>
      <c r="J459" s="3024"/>
      <c r="K459" s="3024">
        <f t="shared" si="23"/>
        <v>85.18</v>
      </c>
      <c r="L459" s="3024">
        <f t="shared" si="28"/>
        <v>85.18</v>
      </c>
      <c r="M459" s="3024"/>
    </row>
    <row r="460" spans="1:13">
      <c r="A460" s="3024"/>
      <c r="B460" s="3024"/>
      <c r="C460" s="3024">
        <v>-203</v>
      </c>
      <c r="D460" s="3024"/>
      <c r="E460" s="3024">
        <v>85.18</v>
      </c>
      <c r="F460" s="3024"/>
      <c r="G460" s="3024">
        <f t="shared" si="34"/>
        <v>85.18</v>
      </c>
      <c r="H460" s="3024"/>
      <c r="I460" s="3024"/>
      <c r="J460" s="3024"/>
      <c r="K460" s="3024">
        <f t="shared" si="23"/>
        <v>85.18</v>
      </c>
      <c r="L460" s="3024">
        <f t="shared" si="28"/>
        <v>85.18</v>
      </c>
      <c r="M460" s="3024"/>
    </row>
    <row r="461" spans="1:13">
      <c r="A461" s="3024"/>
      <c r="B461" s="3024"/>
      <c r="C461" s="3024">
        <v>-204</v>
      </c>
      <c r="D461" s="3024"/>
      <c r="E461" s="3024">
        <v>85.18</v>
      </c>
      <c r="F461" s="3024"/>
      <c r="G461" s="3024">
        <f t="shared" si="34"/>
        <v>85.18</v>
      </c>
      <c r="H461" s="3024"/>
      <c r="I461" s="3024"/>
      <c r="J461" s="3024"/>
      <c r="K461" s="3024">
        <f t="shared" si="23"/>
        <v>85.18</v>
      </c>
      <c r="L461" s="3024">
        <f t="shared" si="28"/>
        <v>85.18</v>
      </c>
      <c r="M461" s="3024"/>
    </row>
    <row r="462" spans="1:13">
      <c r="A462" s="3024"/>
      <c r="B462" s="3024"/>
      <c r="C462" s="3024">
        <v>101</v>
      </c>
      <c r="D462" s="3024">
        <v>138.38999999999999</v>
      </c>
      <c r="E462" s="3024">
        <v>86.55</v>
      </c>
      <c r="F462" s="3024"/>
      <c r="G462" s="3024">
        <f t="shared" si="34"/>
        <v>224.94</v>
      </c>
      <c r="H462" s="3024"/>
      <c r="I462" s="3024"/>
      <c r="J462" s="3028">
        <f>J442</f>
        <v>112.4</v>
      </c>
      <c r="K462" s="3024">
        <f t="shared" si="23"/>
        <v>112.53999999999999</v>
      </c>
      <c r="L462" s="3024">
        <f t="shared" ref="L462:L525" si="35">J462+K462</f>
        <v>224.94</v>
      </c>
      <c r="M462" s="3027">
        <f>J462+J463+J464+J465</f>
        <v>449.59</v>
      </c>
    </row>
    <row r="463" spans="1:13">
      <c r="A463" s="3024"/>
      <c r="B463" s="3024"/>
      <c r="C463" s="3024">
        <v>102</v>
      </c>
      <c r="D463" s="3024">
        <v>138.38999999999999</v>
      </c>
      <c r="E463" s="3024">
        <v>86.71</v>
      </c>
      <c r="F463" s="3024"/>
      <c r="G463" s="3024">
        <f t="shared" si="34"/>
        <v>225.09999999999997</v>
      </c>
      <c r="H463" s="3024"/>
      <c r="I463" s="3024"/>
      <c r="J463" s="3028">
        <f>J462</f>
        <v>112.4</v>
      </c>
      <c r="K463" s="3024">
        <f t="shared" si="23"/>
        <v>112.69999999999996</v>
      </c>
      <c r="L463" s="3024">
        <f t="shared" si="35"/>
        <v>225.09999999999997</v>
      </c>
      <c r="M463" s="3024"/>
    </row>
    <row r="464" spans="1:13">
      <c r="A464" s="3024"/>
      <c r="B464" s="3024"/>
      <c r="C464" s="3024">
        <v>103</v>
      </c>
      <c r="D464" s="3024">
        <v>138.38999999999999</v>
      </c>
      <c r="E464" s="3024">
        <v>86.71</v>
      </c>
      <c r="F464" s="3024"/>
      <c r="G464" s="3024">
        <f>SUM(D464:F464)</f>
        <v>225.09999999999997</v>
      </c>
      <c r="H464" s="3024"/>
      <c r="I464" s="3024"/>
      <c r="J464" s="3028">
        <f>J462</f>
        <v>112.4</v>
      </c>
      <c r="K464" s="3024">
        <f t="shared" si="23"/>
        <v>112.69999999999996</v>
      </c>
      <c r="L464" s="3024">
        <f t="shared" si="35"/>
        <v>225.09999999999997</v>
      </c>
      <c r="M464" s="3024"/>
    </row>
    <row r="465" spans="1:13">
      <c r="A465" s="3024"/>
      <c r="B465" s="3024"/>
      <c r="C465" s="3024">
        <v>104</v>
      </c>
      <c r="D465" s="3024">
        <v>138.58000000000001</v>
      </c>
      <c r="E465" s="3024">
        <v>87.09</v>
      </c>
      <c r="F465" s="3024"/>
      <c r="G465" s="3024">
        <f>SUM(D465:F465)</f>
        <v>225.67000000000002</v>
      </c>
      <c r="H465" s="3024"/>
      <c r="I465" s="3024"/>
      <c r="J465" s="3024">
        <f>J445</f>
        <v>112.38999999999993</v>
      </c>
      <c r="K465" s="3024">
        <f t="shared" si="23"/>
        <v>113.28000000000009</v>
      </c>
      <c r="L465" s="3024">
        <f t="shared" si="35"/>
        <v>225.67000000000002</v>
      </c>
      <c r="M465" s="3024"/>
    </row>
    <row r="466" spans="1:13">
      <c r="A466" s="3024" t="s">
        <v>3120</v>
      </c>
      <c r="B466" s="3024">
        <v>8</v>
      </c>
      <c r="C466" s="3024">
        <v>-201</v>
      </c>
      <c r="D466" s="3024"/>
      <c r="E466" s="3024">
        <v>83.36</v>
      </c>
      <c r="F466" s="3024"/>
      <c r="G466" s="3024">
        <f t="shared" si="2"/>
        <v>83.36</v>
      </c>
      <c r="H466" s="3024">
        <f>SUM(G466:G481)</f>
        <v>2418.6800000000003</v>
      </c>
      <c r="I466" s="3024"/>
      <c r="J466" s="3024"/>
      <c r="K466" s="3024">
        <f t="shared" si="23"/>
        <v>83.36</v>
      </c>
      <c r="L466" s="3024">
        <f t="shared" si="35"/>
        <v>83.36</v>
      </c>
      <c r="M466" s="3024"/>
    </row>
    <row r="467" spans="1:13">
      <c r="A467" s="3024"/>
      <c r="B467" s="3024"/>
      <c r="C467" s="3024">
        <v>-202</v>
      </c>
      <c r="D467" s="3024"/>
      <c r="E467" s="3024">
        <v>84.08</v>
      </c>
      <c r="F467" s="3024"/>
      <c r="G467" s="3024">
        <f t="shared" ref="G467:G481" si="36">SUM(D467:F467)</f>
        <v>84.08</v>
      </c>
      <c r="H467" s="3024"/>
      <c r="I467" s="3024"/>
      <c r="J467" s="3024"/>
      <c r="K467" s="3024">
        <f t="shared" si="23"/>
        <v>84.08</v>
      </c>
      <c r="L467" s="3024">
        <f t="shared" si="35"/>
        <v>84.08</v>
      </c>
      <c r="M467" s="3024"/>
    </row>
    <row r="468" spans="1:13">
      <c r="A468" s="3024"/>
      <c r="B468" s="3024"/>
      <c r="C468" s="3024">
        <v>-203</v>
      </c>
      <c r="D468" s="3024"/>
      <c r="E468" s="3024">
        <v>84.08</v>
      </c>
      <c r="F468" s="3024"/>
      <c r="G468" s="3024">
        <f t="shared" si="36"/>
        <v>84.08</v>
      </c>
      <c r="H468" s="3024"/>
      <c r="I468" s="3024"/>
      <c r="J468" s="3024"/>
      <c r="K468" s="3024">
        <f t="shared" si="23"/>
        <v>84.08</v>
      </c>
      <c r="L468" s="3024">
        <f t="shared" si="35"/>
        <v>84.08</v>
      </c>
      <c r="M468" s="3024"/>
    </row>
    <row r="469" spans="1:13">
      <c r="A469" s="3024"/>
      <c r="B469" s="3024"/>
      <c r="C469" s="3024">
        <v>-204</v>
      </c>
      <c r="D469" s="3024"/>
      <c r="E469" s="3024">
        <v>84.08</v>
      </c>
      <c r="F469" s="3024"/>
      <c r="G469" s="3024">
        <f t="shared" si="36"/>
        <v>84.08</v>
      </c>
      <c r="H469" s="3024"/>
      <c r="I469" s="3024"/>
      <c r="J469" s="3024"/>
      <c r="K469" s="3024">
        <f t="shared" si="23"/>
        <v>84.08</v>
      </c>
      <c r="L469" s="3024">
        <f t="shared" si="35"/>
        <v>84.08</v>
      </c>
      <c r="M469" s="3024"/>
    </row>
    <row r="470" spans="1:13">
      <c r="A470" s="3024"/>
      <c r="B470" s="3024"/>
      <c r="C470" s="3024">
        <v>-205</v>
      </c>
      <c r="D470" s="3024"/>
      <c r="E470" s="3024">
        <v>83.36</v>
      </c>
      <c r="F470" s="3024"/>
      <c r="G470" s="3024">
        <f t="shared" si="36"/>
        <v>83.36</v>
      </c>
      <c r="H470" s="3024"/>
      <c r="I470" s="3024"/>
      <c r="J470" s="3024"/>
      <c r="K470" s="3024">
        <f t="shared" si="23"/>
        <v>83.36</v>
      </c>
      <c r="L470" s="3024">
        <f t="shared" si="35"/>
        <v>83.36</v>
      </c>
      <c r="M470" s="3024"/>
    </row>
    <row r="471" spans="1:13">
      <c r="A471" s="3024"/>
      <c r="B471" s="3024"/>
      <c r="C471" s="3024">
        <v>-206</v>
      </c>
      <c r="D471" s="3024"/>
      <c r="E471" s="3024">
        <v>84.08</v>
      </c>
      <c r="F471" s="3024"/>
      <c r="G471" s="3024">
        <f t="shared" si="36"/>
        <v>84.08</v>
      </c>
      <c r="H471" s="3024"/>
      <c r="I471" s="3024"/>
      <c r="J471" s="3024"/>
      <c r="K471" s="3024">
        <f t="shared" si="23"/>
        <v>84.08</v>
      </c>
      <c r="L471" s="3024">
        <f t="shared" si="35"/>
        <v>84.08</v>
      </c>
      <c r="M471" s="3024"/>
    </row>
    <row r="472" spans="1:13">
      <c r="A472" s="3024"/>
      <c r="B472" s="3024"/>
      <c r="C472" s="3024">
        <v>-207</v>
      </c>
      <c r="D472" s="3024"/>
      <c r="E472" s="3024">
        <v>84.08</v>
      </c>
      <c r="F472" s="3024"/>
      <c r="G472" s="3024">
        <f t="shared" si="36"/>
        <v>84.08</v>
      </c>
      <c r="H472" s="3024"/>
      <c r="I472" s="3024"/>
      <c r="J472" s="3024"/>
      <c r="K472" s="3024">
        <f t="shared" si="23"/>
        <v>84.08</v>
      </c>
      <c r="L472" s="3024">
        <f t="shared" si="35"/>
        <v>84.08</v>
      </c>
      <c r="M472" s="3024"/>
    </row>
    <row r="473" spans="1:13">
      <c r="A473" s="3024"/>
      <c r="B473" s="3024"/>
      <c r="C473" s="3024">
        <v>-208</v>
      </c>
      <c r="D473" s="3024"/>
      <c r="E473" s="3024">
        <v>84.08</v>
      </c>
      <c r="F473" s="3024"/>
      <c r="G473" s="3024">
        <f t="shared" si="36"/>
        <v>84.08</v>
      </c>
      <c r="H473" s="3024"/>
      <c r="I473" s="3024"/>
      <c r="J473" s="3024"/>
      <c r="K473" s="3024">
        <f t="shared" si="23"/>
        <v>84.08</v>
      </c>
      <c r="L473" s="3024">
        <f t="shared" si="35"/>
        <v>84.08</v>
      </c>
      <c r="M473" s="3024"/>
    </row>
    <row r="474" spans="1:13">
      <c r="A474" s="3024"/>
      <c r="B474" s="3024"/>
      <c r="C474" s="3024">
        <v>101</v>
      </c>
      <c r="D474" s="3024">
        <v>134.03</v>
      </c>
      <c r="E474" s="3024">
        <v>84.18</v>
      </c>
      <c r="F474" s="3024"/>
      <c r="G474" s="3024">
        <f t="shared" si="36"/>
        <v>218.21</v>
      </c>
      <c r="H474" s="3024"/>
      <c r="I474" s="3024"/>
      <c r="J474" s="3024">
        <f>ROUND(868.47/8,2)</f>
        <v>108.56</v>
      </c>
      <c r="K474" s="3024">
        <f t="shared" si="23"/>
        <v>109.65</v>
      </c>
      <c r="L474" s="3024">
        <f t="shared" si="35"/>
        <v>218.21</v>
      </c>
      <c r="M474" s="3024">
        <f>J474+J475+J476+J477+J478+J479+J480+J481</f>
        <v>868.47</v>
      </c>
    </row>
    <row r="475" spans="1:13">
      <c r="A475" s="3024"/>
      <c r="B475" s="3024"/>
      <c r="C475" s="3024">
        <v>102</v>
      </c>
      <c r="D475" s="3024">
        <v>134.03</v>
      </c>
      <c r="E475" s="3024">
        <v>84.33</v>
      </c>
      <c r="F475" s="3024"/>
      <c r="G475" s="3024">
        <f t="shared" si="36"/>
        <v>218.36</v>
      </c>
      <c r="H475" s="3024"/>
      <c r="I475" s="3024"/>
      <c r="J475" s="3024">
        <f>$J$474</f>
        <v>108.56</v>
      </c>
      <c r="K475" s="3024">
        <f t="shared" si="23"/>
        <v>109.80000000000001</v>
      </c>
      <c r="L475" s="3024">
        <f t="shared" si="35"/>
        <v>218.36</v>
      </c>
      <c r="M475" s="3024"/>
    </row>
    <row r="476" spans="1:13">
      <c r="A476" s="3024"/>
      <c r="B476" s="3024"/>
      <c r="C476" s="3024">
        <v>103</v>
      </c>
      <c r="D476" s="3024">
        <v>134.03</v>
      </c>
      <c r="E476" s="3024">
        <v>84.33</v>
      </c>
      <c r="F476" s="3024"/>
      <c r="G476" s="3024">
        <f t="shared" si="36"/>
        <v>218.36</v>
      </c>
      <c r="H476" s="3024"/>
      <c r="I476" s="3024"/>
      <c r="J476" s="3024">
        <f t="shared" ref="J476:J480" si="37">$J$474</f>
        <v>108.56</v>
      </c>
      <c r="K476" s="3024">
        <f t="shared" si="23"/>
        <v>109.80000000000001</v>
      </c>
      <c r="L476" s="3024">
        <f t="shared" si="35"/>
        <v>218.36</v>
      </c>
      <c r="M476" s="3024"/>
    </row>
    <row r="477" spans="1:13">
      <c r="A477" s="3024"/>
      <c r="B477" s="3024"/>
      <c r="C477" s="3024">
        <v>104</v>
      </c>
      <c r="D477" s="3024">
        <v>134.22</v>
      </c>
      <c r="E477" s="3024">
        <v>84.59</v>
      </c>
      <c r="F477" s="3024"/>
      <c r="G477" s="3024">
        <f t="shared" si="36"/>
        <v>218.81</v>
      </c>
      <c r="H477" s="3024"/>
      <c r="I477" s="3024"/>
      <c r="J477" s="3024">
        <f t="shared" si="37"/>
        <v>108.56</v>
      </c>
      <c r="K477" s="3024">
        <f t="shared" si="23"/>
        <v>110.25</v>
      </c>
      <c r="L477" s="3024">
        <f t="shared" si="35"/>
        <v>218.81</v>
      </c>
      <c r="M477" s="3024"/>
    </row>
    <row r="478" spans="1:13">
      <c r="A478" s="3024"/>
      <c r="B478" s="3024"/>
      <c r="C478" s="3024">
        <v>105</v>
      </c>
      <c r="D478" s="3024">
        <v>134.03</v>
      </c>
      <c r="E478" s="3024">
        <v>84.18</v>
      </c>
      <c r="F478" s="3024"/>
      <c r="G478" s="3024">
        <f t="shared" si="36"/>
        <v>218.21</v>
      </c>
      <c r="H478" s="3024"/>
      <c r="I478" s="3024"/>
      <c r="J478" s="3024">
        <f t="shared" si="37"/>
        <v>108.56</v>
      </c>
      <c r="K478" s="3024">
        <f t="shared" si="23"/>
        <v>109.65</v>
      </c>
      <c r="L478" s="3024">
        <f t="shared" si="35"/>
        <v>218.21</v>
      </c>
      <c r="M478" s="3024"/>
    </row>
    <row r="479" spans="1:13">
      <c r="A479" s="3024"/>
      <c r="B479" s="3024"/>
      <c r="C479" s="3024">
        <v>106</v>
      </c>
      <c r="D479" s="3024">
        <v>134.03</v>
      </c>
      <c r="E479" s="3024">
        <v>84.33</v>
      </c>
      <c r="F479" s="3024"/>
      <c r="G479" s="3024">
        <f t="shared" si="36"/>
        <v>218.36</v>
      </c>
      <c r="H479" s="3024"/>
      <c r="I479" s="3024"/>
      <c r="J479" s="3024">
        <f t="shared" si="37"/>
        <v>108.56</v>
      </c>
      <c r="K479" s="3024">
        <f t="shared" si="23"/>
        <v>109.80000000000001</v>
      </c>
      <c r="L479" s="3024">
        <f t="shared" si="35"/>
        <v>218.36</v>
      </c>
      <c r="M479" s="3024"/>
    </row>
    <row r="480" spans="1:13">
      <c r="A480" s="3024"/>
      <c r="B480" s="3024"/>
      <c r="C480" s="3024">
        <v>107</v>
      </c>
      <c r="D480" s="3024">
        <v>134.03</v>
      </c>
      <c r="E480" s="3024">
        <v>84.33</v>
      </c>
      <c r="F480" s="3024"/>
      <c r="G480" s="3024">
        <f t="shared" si="36"/>
        <v>218.36</v>
      </c>
      <c r="H480" s="3024"/>
      <c r="I480" s="3024"/>
      <c r="J480" s="3024">
        <f t="shared" si="37"/>
        <v>108.56</v>
      </c>
      <c r="K480" s="3024">
        <f t="shared" si="23"/>
        <v>109.80000000000001</v>
      </c>
      <c r="L480" s="3024">
        <f t="shared" si="35"/>
        <v>218.36</v>
      </c>
      <c r="M480" s="3024"/>
    </row>
    <row r="481" spans="1:13">
      <c r="A481" s="3024"/>
      <c r="B481" s="3024"/>
      <c r="C481" s="3024">
        <v>108</v>
      </c>
      <c r="D481" s="3024">
        <v>134.22</v>
      </c>
      <c r="E481" s="3024">
        <v>84.59</v>
      </c>
      <c r="F481" s="3024"/>
      <c r="G481" s="3024">
        <f t="shared" si="36"/>
        <v>218.81</v>
      </c>
      <c r="H481" s="3024"/>
      <c r="I481" s="3024"/>
      <c r="J481" s="3024">
        <f>868.47-J474-J475-J476-J477-J478-J479-J480</f>
        <v>108.55000000000018</v>
      </c>
      <c r="K481" s="3024">
        <f t="shared" si="23"/>
        <v>110.25999999999982</v>
      </c>
      <c r="L481" s="3024">
        <f t="shared" si="35"/>
        <v>218.81</v>
      </c>
      <c r="M481" s="3024"/>
    </row>
    <row r="482" spans="1:13">
      <c r="A482" s="3024" t="s">
        <v>3121</v>
      </c>
      <c r="B482" s="3024">
        <v>6</v>
      </c>
      <c r="C482" s="3024">
        <v>-201</v>
      </c>
      <c r="D482" s="3024"/>
      <c r="E482" s="3024">
        <v>83.43</v>
      </c>
      <c r="F482" s="3024"/>
      <c r="G482" s="3024">
        <f t="shared" si="2"/>
        <v>83.43</v>
      </c>
      <c r="H482" s="3024">
        <f>SUM(G482:G493)</f>
        <v>1815.6799999999998</v>
      </c>
      <c r="I482" s="3024"/>
      <c r="J482" s="3024"/>
      <c r="K482" s="3024">
        <f t="shared" si="23"/>
        <v>83.43</v>
      </c>
      <c r="L482" s="3024">
        <f t="shared" si="35"/>
        <v>83.43</v>
      </c>
      <c r="M482" s="3024"/>
    </row>
    <row r="483" spans="1:13">
      <c r="A483" s="3024"/>
      <c r="B483" s="3024"/>
      <c r="C483" s="3024">
        <v>-202</v>
      </c>
      <c r="D483" s="3024"/>
      <c r="E483" s="3024">
        <v>84.15</v>
      </c>
      <c r="F483" s="3024"/>
      <c r="G483" s="3024">
        <f t="shared" ref="G483:G493" si="38">SUM(D483:F483)</f>
        <v>84.15</v>
      </c>
      <c r="H483" s="3024"/>
      <c r="I483" s="3024"/>
      <c r="J483" s="3024"/>
      <c r="K483" s="3024">
        <f t="shared" si="23"/>
        <v>84.15</v>
      </c>
      <c r="L483" s="3024">
        <f t="shared" si="35"/>
        <v>84.15</v>
      </c>
      <c r="M483" s="3024"/>
    </row>
    <row r="484" spans="1:13">
      <c r="A484" s="3024"/>
      <c r="B484" s="3024"/>
      <c r="C484" s="3024">
        <v>-203</v>
      </c>
      <c r="D484" s="3024"/>
      <c r="E484" s="3024">
        <v>84.15</v>
      </c>
      <c r="F484" s="3024"/>
      <c r="G484" s="3024">
        <f t="shared" si="38"/>
        <v>84.15</v>
      </c>
      <c r="H484" s="3024"/>
      <c r="I484" s="3024"/>
      <c r="J484" s="3024"/>
      <c r="K484" s="3024">
        <f t="shared" si="23"/>
        <v>84.15</v>
      </c>
      <c r="L484" s="3024">
        <f t="shared" si="35"/>
        <v>84.15</v>
      </c>
      <c r="M484" s="3024"/>
    </row>
    <row r="485" spans="1:13">
      <c r="A485" s="3024"/>
      <c r="B485" s="3024"/>
      <c r="C485" s="3024">
        <v>-204</v>
      </c>
      <c r="D485" s="3024"/>
      <c r="E485" s="3024">
        <v>83.43</v>
      </c>
      <c r="F485" s="3024"/>
      <c r="G485" s="3024">
        <f t="shared" si="38"/>
        <v>83.43</v>
      </c>
      <c r="H485" s="3024"/>
      <c r="I485" s="3024"/>
      <c r="J485" s="3024"/>
      <c r="K485" s="3024">
        <f t="shared" si="23"/>
        <v>83.43</v>
      </c>
      <c r="L485" s="3024">
        <f t="shared" si="35"/>
        <v>83.43</v>
      </c>
      <c r="M485" s="3024"/>
    </row>
    <row r="486" spans="1:13">
      <c r="A486" s="3024"/>
      <c r="B486" s="3024"/>
      <c r="C486" s="3024">
        <v>-205</v>
      </c>
      <c r="D486" s="3024"/>
      <c r="E486" s="3024">
        <v>84.15</v>
      </c>
      <c r="F486" s="3024"/>
      <c r="G486" s="3024">
        <f t="shared" si="38"/>
        <v>84.15</v>
      </c>
      <c r="H486" s="3024"/>
      <c r="I486" s="3024"/>
      <c r="J486" s="3024"/>
      <c r="K486" s="3024">
        <f t="shared" si="23"/>
        <v>84.15</v>
      </c>
      <c r="L486" s="3024">
        <f t="shared" si="35"/>
        <v>84.15</v>
      </c>
      <c r="M486" s="3024"/>
    </row>
    <row r="487" spans="1:13">
      <c r="A487" s="3024"/>
      <c r="B487" s="3024"/>
      <c r="C487" s="3024">
        <v>-206</v>
      </c>
      <c r="D487" s="3024"/>
      <c r="E487" s="3024">
        <v>84.15</v>
      </c>
      <c r="F487" s="3024"/>
      <c r="G487" s="3024">
        <f t="shared" si="38"/>
        <v>84.15</v>
      </c>
      <c r="H487" s="3024"/>
      <c r="I487" s="3024"/>
      <c r="J487" s="3024"/>
      <c r="K487" s="3024">
        <f t="shared" si="23"/>
        <v>84.15</v>
      </c>
      <c r="L487" s="3024">
        <f t="shared" si="35"/>
        <v>84.15</v>
      </c>
      <c r="M487" s="3024"/>
    </row>
    <row r="488" spans="1:13">
      <c r="A488" s="3024"/>
      <c r="B488" s="3024"/>
      <c r="C488" s="3024">
        <v>101</v>
      </c>
      <c r="D488" s="3024">
        <v>134.18</v>
      </c>
      <c r="E488" s="3024">
        <v>84.28</v>
      </c>
      <c r="F488" s="3024"/>
      <c r="G488" s="3024">
        <f t="shared" si="38"/>
        <v>218.46</v>
      </c>
      <c r="H488" s="3024"/>
      <c r="I488" s="3024"/>
      <c r="J488" s="3024">
        <f>J452</f>
        <v>108.67</v>
      </c>
      <c r="K488" s="3024">
        <f t="shared" si="23"/>
        <v>109.79</v>
      </c>
      <c r="L488" s="3024">
        <f t="shared" si="35"/>
        <v>218.46</v>
      </c>
      <c r="M488" s="3024">
        <f>J488+J489+J490+J491+J492+J493</f>
        <v>652.01</v>
      </c>
    </row>
    <row r="489" spans="1:13">
      <c r="A489" s="3024"/>
      <c r="B489" s="3024"/>
      <c r="C489" s="3024">
        <v>102</v>
      </c>
      <c r="D489" s="3024">
        <v>134.16999999999999</v>
      </c>
      <c r="E489" s="3024">
        <v>84.42</v>
      </c>
      <c r="F489" s="3024"/>
      <c r="G489" s="3024">
        <f t="shared" si="38"/>
        <v>218.58999999999997</v>
      </c>
      <c r="H489" s="3024"/>
      <c r="I489" s="3024"/>
      <c r="J489" s="3024">
        <f>J488</f>
        <v>108.67</v>
      </c>
      <c r="K489" s="3024">
        <f t="shared" si="23"/>
        <v>109.91999999999997</v>
      </c>
      <c r="L489" s="3024">
        <f t="shared" si="35"/>
        <v>218.58999999999997</v>
      </c>
      <c r="M489" s="3024"/>
    </row>
    <row r="490" spans="1:13">
      <c r="A490" s="3024"/>
      <c r="B490" s="3024"/>
      <c r="C490" s="3024">
        <v>103</v>
      </c>
      <c r="D490" s="3024">
        <v>134.36000000000001</v>
      </c>
      <c r="E490" s="3024">
        <v>84.7</v>
      </c>
      <c r="F490" s="3024"/>
      <c r="G490" s="3024">
        <f t="shared" si="38"/>
        <v>219.06</v>
      </c>
      <c r="H490" s="3024"/>
      <c r="I490" s="3024"/>
      <c r="J490" s="3024">
        <f>J488</f>
        <v>108.67</v>
      </c>
      <c r="K490" s="3024">
        <f t="shared" si="23"/>
        <v>110.39</v>
      </c>
      <c r="L490" s="3024">
        <f t="shared" si="35"/>
        <v>219.06</v>
      </c>
      <c r="M490" s="3024"/>
    </row>
    <row r="491" spans="1:13">
      <c r="A491" s="3024"/>
      <c r="B491" s="3024"/>
      <c r="C491" s="3024">
        <v>104</v>
      </c>
      <c r="D491" s="3024">
        <v>134.18</v>
      </c>
      <c r="E491" s="3024">
        <v>84.28</v>
      </c>
      <c r="F491" s="3024"/>
      <c r="G491" s="3024">
        <f t="shared" si="38"/>
        <v>218.46</v>
      </c>
      <c r="H491" s="3024"/>
      <c r="I491" s="3024"/>
      <c r="J491" s="3024">
        <f>J488</f>
        <v>108.67</v>
      </c>
      <c r="K491" s="3024">
        <f t="shared" si="23"/>
        <v>109.79</v>
      </c>
      <c r="L491" s="3024">
        <f t="shared" si="35"/>
        <v>218.46</v>
      </c>
      <c r="M491" s="3024"/>
    </row>
    <row r="492" spans="1:13">
      <c r="A492" s="3024"/>
      <c r="B492" s="3024"/>
      <c r="C492" s="3024">
        <v>105</v>
      </c>
      <c r="D492" s="3024">
        <v>134.16999999999999</v>
      </c>
      <c r="E492" s="3024">
        <v>84.42</v>
      </c>
      <c r="F492" s="3024"/>
      <c r="G492" s="3024">
        <f t="shared" si="38"/>
        <v>218.58999999999997</v>
      </c>
      <c r="H492" s="3024"/>
      <c r="I492" s="3024"/>
      <c r="J492" s="3024">
        <f>J488</f>
        <v>108.67</v>
      </c>
      <c r="K492" s="3024">
        <f t="shared" si="23"/>
        <v>109.91999999999997</v>
      </c>
      <c r="L492" s="3024">
        <f t="shared" si="35"/>
        <v>218.58999999999997</v>
      </c>
      <c r="M492" s="3024"/>
    </row>
    <row r="493" spans="1:13">
      <c r="A493" s="3024"/>
      <c r="B493" s="3024"/>
      <c r="C493" s="3024">
        <v>106</v>
      </c>
      <c r="D493" s="3024">
        <v>134.36000000000001</v>
      </c>
      <c r="E493" s="3024">
        <v>84.7</v>
      </c>
      <c r="F493" s="3024"/>
      <c r="G493" s="3024">
        <f t="shared" si="38"/>
        <v>219.06</v>
      </c>
      <c r="H493" s="3024"/>
      <c r="I493" s="3024"/>
      <c r="J493" s="3024">
        <f>J457</f>
        <v>108.66</v>
      </c>
      <c r="K493" s="3024">
        <f t="shared" si="23"/>
        <v>110.4</v>
      </c>
      <c r="L493" s="3024">
        <f t="shared" si="35"/>
        <v>219.06</v>
      </c>
      <c r="M493" s="3024"/>
    </row>
    <row r="494" spans="1:13">
      <c r="A494" s="3024" t="s">
        <v>3122</v>
      </c>
      <c r="B494" s="3024">
        <v>6</v>
      </c>
      <c r="C494" s="3024">
        <v>-201</v>
      </c>
      <c r="D494" s="3024"/>
      <c r="E494" s="3024">
        <v>83.43</v>
      </c>
      <c r="F494" s="3024"/>
      <c r="G494" s="3024">
        <f t="shared" si="2"/>
        <v>83.43</v>
      </c>
      <c r="H494" s="3024">
        <f>SUM(G494:G505)</f>
        <v>1815.6799999999998</v>
      </c>
      <c r="I494" s="3024"/>
      <c r="J494" s="3024"/>
      <c r="K494" s="3024">
        <f t="shared" si="23"/>
        <v>83.43</v>
      </c>
      <c r="L494" s="3024">
        <f t="shared" si="35"/>
        <v>83.43</v>
      </c>
      <c r="M494" s="3024"/>
    </row>
    <row r="495" spans="1:13">
      <c r="A495" s="3024"/>
      <c r="B495" s="3024"/>
      <c r="C495" s="3024">
        <v>-202</v>
      </c>
      <c r="D495" s="3024"/>
      <c r="E495" s="3024">
        <v>84.15</v>
      </c>
      <c r="F495" s="3024"/>
      <c r="G495" s="3024">
        <f t="shared" ref="G495:G505" si="39">SUM(D495:F495)</f>
        <v>84.15</v>
      </c>
      <c r="H495" s="3024"/>
      <c r="I495" s="3024"/>
      <c r="J495" s="3024"/>
      <c r="K495" s="3024">
        <f t="shared" si="23"/>
        <v>84.15</v>
      </c>
      <c r="L495" s="3024">
        <f t="shared" si="35"/>
        <v>84.15</v>
      </c>
      <c r="M495" s="3024"/>
    </row>
    <row r="496" spans="1:13">
      <c r="A496" s="3024"/>
      <c r="B496" s="3024"/>
      <c r="C496" s="3024">
        <v>-203</v>
      </c>
      <c r="D496" s="3024"/>
      <c r="E496" s="3024">
        <v>84.15</v>
      </c>
      <c r="F496" s="3024"/>
      <c r="G496" s="3024">
        <f t="shared" si="39"/>
        <v>84.15</v>
      </c>
      <c r="H496" s="3024"/>
      <c r="I496" s="3024"/>
      <c r="J496" s="3024"/>
      <c r="K496" s="3024">
        <f t="shared" si="23"/>
        <v>84.15</v>
      </c>
      <c r="L496" s="3024">
        <f t="shared" si="35"/>
        <v>84.15</v>
      </c>
      <c r="M496" s="3024"/>
    </row>
    <row r="497" spans="1:13">
      <c r="A497" s="3024"/>
      <c r="B497" s="3024"/>
      <c r="C497" s="3024">
        <v>-204</v>
      </c>
      <c r="D497" s="3024"/>
      <c r="E497" s="3024">
        <v>83.43</v>
      </c>
      <c r="F497" s="3024"/>
      <c r="G497" s="3024">
        <f t="shared" si="39"/>
        <v>83.43</v>
      </c>
      <c r="H497" s="3024"/>
      <c r="I497" s="3024"/>
      <c r="J497" s="3024"/>
      <c r="K497" s="3024">
        <f t="shared" si="23"/>
        <v>83.43</v>
      </c>
      <c r="L497" s="3024">
        <f t="shared" si="35"/>
        <v>83.43</v>
      </c>
      <c r="M497" s="3024"/>
    </row>
    <row r="498" spans="1:13">
      <c r="A498" s="3024"/>
      <c r="B498" s="3024"/>
      <c r="C498" s="3024">
        <v>-205</v>
      </c>
      <c r="D498" s="3024"/>
      <c r="E498" s="3024">
        <v>84.15</v>
      </c>
      <c r="F498" s="3024"/>
      <c r="G498" s="3024">
        <f t="shared" si="39"/>
        <v>84.15</v>
      </c>
      <c r="H498" s="3024"/>
      <c r="I498" s="3024"/>
      <c r="J498" s="3024"/>
      <c r="K498" s="3024">
        <f t="shared" si="23"/>
        <v>84.15</v>
      </c>
      <c r="L498" s="3024">
        <f t="shared" si="35"/>
        <v>84.15</v>
      </c>
      <c r="M498" s="3024"/>
    </row>
    <row r="499" spans="1:13">
      <c r="A499" s="3024"/>
      <c r="B499" s="3024"/>
      <c r="C499" s="3024">
        <v>-206</v>
      </c>
      <c r="D499" s="3024"/>
      <c r="E499" s="3024">
        <v>84.15</v>
      </c>
      <c r="F499" s="3024"/>
      <c r="G499" s="3024">
        <f t="shared" si="39"/>
        <v>84.15</v>
      </c>
      <c r="H499" s="3024"/>
      <c r="I499" s="3024"/>
      <c r="J499" s="3024"/>
      <c r="K499" s="3024">
        <f t="shared" si="23"/>
        <v>84.15</v>
      </c>
      <c r="L499" s="3024">
        <f t="shared" si="35"/>
        <v>84.15</v>
      </c>
      <c r="M499" s="3024"/>
    </row>
    <row r="500" spans="1:13">
      <c r="A500" s="3024"/>
      <c r="B500" s="3024"/>
      <c r="C500" s="3024">
        <v>101</v>
      </c>
      <c r="D500" s="3024">
        <v>134.18</v>
      </c>
      <c r="E500" s="3024">
        <v>84.28</v>
      </c>
      <c r="F500" s="3024"/>
      <c r="G500" s="3024">
        <f t="shared" si="39"/>
        <v>218.46</v>
      </c>
      <c r="H500" s="3024"/>
      <c r="I500" s="3024"/>
      <c r="J500" s="3024">
        <f>J488</f>
        <v>108.67</v>
      </c>
      <c r="K500" s="3024">
        <f t="shared" si="23"/>
        <v>109.79</v>
      </c>
      <c r="L500" s="3024">
        <f t="shared" si="35"/>
        <v>218.46</v>
      </c>
      <c r="M500" s="3024">
        <f>J500+J501+J502+J503+J504+J505</f>
        <v>652.01</v>
      </c>
    </row>
    <row r="501" spans="1:13">
      <c r="A501" s="3024"/>
      <c r="B501" s="3024"/>
      <c r="C501" s="3024">
        <v>102</v>
      </c>
      <c r="D501" s="3024">
        <v>134.16999999999999</v>
      </c>
      <c r="E501" s="3024">
        <v>84.42</v>
      </c>
      <c r="F501" s="3024"/>
      <c r="G501" s="3024">
        <f t="shared" si="39"/>
        <v>218.58999999999997</v>
      </c>
      <c r="H501" s="3024"/>
      <c r="I501" s="3024"/>
      <c r="J501" s="3024">
        <f>J500</f>
        <v>108.67</v>
      </c>
      <c r="K501" s="3024">
        <f t="shared" si="23"/>
        <v>109.91999999999997</v>
      </c>
      <c r="L501" s="3024">
        <f t="shared" si="35"/>
        <v>218.58999999999997</v>
      </c>
      <c r="M501" s="3024"/>
    </row>
    <row r="502" spans="1:13">
      <c r="A502" s="3024"/>
      <c r="B502" s="3024"/>
      <c r="C502" s="3024">
        <v>103</v>
      </c>
      <c r="D502" s="3024">
        <v>134.36000000000001</v>
      </c>
      <c r="E502" s="3024">
        <v>84.7</v>
      </c>
      <c r="F502" s="3024"/>
      <c r="G502" s="3024">
        <f t="shared" si="39"/>
        <v>219.06</v>
      </c>
      <c r="H502" s="3024"/>
      <c r="I502" s="3024"/>
      <c r="J502" s="3024">
        <f>J500</f>
        <v>108.67</v>
      </c>
      <c r="K502" s="3024">
        <f t="shared" si="23"/>
        <v>110.39</v>
      </c>
      <c r="L502" s="3024">
        <f t="shared" si="35"/>
        <v>219.06</v>
      </c>
      <c r="M502" s="3024"/>
    </row>
    <row r="503" spans="1:13">
      <c r="A503" s="3024"/>
      <c r="B503" s="3024"/>
      <c r="C503" s="3024">
        <v>104</v>
      </c>
      <c r="D503" s="3024">
        <v>134.18</v>
      </c>
      <c r="E503" s="3024">
        <v>84.28</v>
      </c>
      <c r="F503" s="3024"/>
      <c r="G503" s="3024">
        <f t="shared" si="39"/>
        <v>218.46</v>
      </c>
      <c r="H503" s="3024"/>
      <c r="I503" s="3024"/>
      <c r="J503" s="3024">
        <f>J500</f>
        <v>108.67</v>
      </c>
      <c r="K503" s="3024">
        <f t="shared" si="23"/>
        <v>109.79</v>
      </c>
      <c r="L503" s="3024">
        <f t="shared" si="35"/>
        <v>218.46</v>
      </c>
      <c r="M503" s="3024"/>
    </row>
    <row r="504" spans="1:13">
      <c r="A504" s="3024"/>
      <c r="B504" s="3024"/>
      <c r="C504" s="3024">
        <v>105</v>
      </c>
      <c r="D504" s="3024">
        <v>134.16999999999999</v>
      </c>
      <c r="E504" s="3024">
        <v>84.42</v>
      </c>
      <c r="F504" s="3024"/>
      <c r="G504" s="3024">
        <f t="shared" si="39"/>
        <v>218.58999999999997</v>
      </c>
      <c r="H504" s="3024"/>
      <c r="I504" s="3024"/>
      <c r="J504" s="3024">
        <f>J500</f>
        <v>108.67</v>
      </c>
      <c r="K504" s="3024">
        <f t="shared" si="23"/>
        <v>109.91999999999997</v>
      </c>
      <c r="L504" s="3024">
        <f t="shared" si="35"/>
        <v>218.58999999999997</v>
      </c>
      <c r="M504" s="3024"/>
    </row>
    <row r="505" spans="1:13">
      <c r="A505" s="3024"/>
      <c r="B505" s="3024"/>
      <c r="C505" s="3024">
        <v>106</v>
      </c>
      <c r="D505" s="3024">
        <v>134.36000000000001</v>
      </c>
      <c r="E505" s="3024">
        <v>84.7</v>
      </c>
      <c r="F505" s="3024"/>
      <c r="G505" s="3024">
        <f t="shared" si="39"/>
        <v>219.06</v>
      </c>
      <c r="H505" s="3024"/>
      <c r="I505" s="3024"/>
      <c r="J505" s="3024">
        <f>J493</f>
        <v>108.66</v>
      </c>
      <c r="K505" s="3024">
        <f t="shared" si="23"/>
        <v>110.4</v>
      </c>
      <c r="L505" s="3024">
        <f t="shared" si="35"/>
        <v>219.06</v>
      </c>
      <c r="M505" s="3024"/>
    </row>
    <row r="506" spans="1:13">
      <c r="A506" s="3024" t="s">
        <v>3123</v>
      </c>
      <c r="B506" s="3024">
        <v>8</v>
      </c>
      <c r="C506" s="3024">
        <v>-201</v>
      </c>
      <c r="D506" s="3024"/>
      <c r="E506" s="3024">
        <v>83.37</v>
      </c>
      <c r="F506" s="3024"/>
      <c r="G506" s="3024">
        <f t="shared" si="2"/>
        <v>83.37</v>
      </c>
      <c r="H506" s="3024">
        <f>SUM(G506:G521)</f>
        <v>2419.2400000000002</v>
      </c>
      <c r="I506" s="3024"/>
      <c r="J506" s="3024"/>
      <c r="K506" s="3024">
        <f t="shared" si="23"/>
        <v>83.37</v>
      </c>
      <c r="L506" s="3024">
        <f t="shared" si="35"/>
        <v>83.37</v>
      </c>
      <c r="M506" s="3024"/>
    </row>
    <row r="507" spans="1:13">
      <c r="A507" s="3024"/>
      <c r="B507" s="3024"/>
      <c r="C507" s="3024">
        <v>-202</v>
      </c>
      <c r="D507" s="3024"/>
      <c r="E507" s="3024">
        <v>84.09</v>
      </c>
      <c r="F507" s="3024"/>
      <c r="G507" s="3024">
        <f t="shared" ref="G507:G521" si="40">SUM(D507:F507)</f>
        <v>84.09</v>
      </c>
      <c r="H507" s="3024"/>
      <c r="I507" s="3024"/>
      <c r="J507" s="3024"/>
      <c r="K507" s="3024">
        <f t="shared" si="23"/>
        <v>84.09</v>
      </c>
      <c r="L507" s="3024">
        <f t="shared" si="35"/>
        <v>84.09</v>
      </c>
      <c r="M507" s="3024"/>
    </row>
    <row r="508" spans="1:13">
      <c r="A508" s="3024"/>
      <c r="B508" s="3024"/>
      <c r="C508" s="3024">
        <v>-203</v>
      </c>
      <c r="D508" s="3024"/>
      <c r="E508" s="3024">
        <v>84.09</v>
      </c>
      <c r="F508" s="3024"/>
      <c r="G508" s="3024">
        <f t="shared" si="40"/>
        <v>84.09</v>
      </c>
      <c r="H508" s="3024"/>
      <c r="I508" s="3024"/>
      <c r="J508" s="3024"/>
      <c r="K508" s="3024">
        <f t="shared" si="23"/>
        <v>84.09</v>
      </c>
      <c r="L508" s="3024">
        <f t="shared" si="35"/>
        <v>84.09</v>
      </c>
      <c r="M508" s="3024"/>
    </row>
    <row r="509" spans="1:13">
      <c r="A509" s="3024"/>
      <c r="B509" s="3024"/>
      <c r="C509" s="3024">
        <v>-204</v>
      </c>
      <c r="D509" s="3024"/>
      <c r="E509" s="3024">
        <v>84.09</v>
      </c>
      <c r="F509" s="3024"/>
      <c r="G509" s="3024">
        <f t="shared" si="40"/>
        <v>84.09</v>
      </c>
      <c r="H509" s="3024"/>
      <c r="I509" s="3024"/>
      <c r="J509" s="3024"/>
      <c r="K509" s="3024">
        <f t="shared" si="23"/>
        <v>84.09</v>
      </c>
      <c r="L509" s="3024">
        <f t="shared" si="35"/>
        <v>84.09</v>
      </c>
      <c r="M509" s="3024"/>
    </row>
    <row r="510" spans="1:13">
      <c r="A510" s="3024"/>
      <c r="B510" s="3024"/>
      <c r="C510" s="3024">
        <v>-205</v>
      </c>
      <c r="D510" s="3024"/>
      <c r="E510" s="3024">
        <v>83.37</v>
      </c>
      <c r="F510" s="3024"/>
      <c r="G510" s="3024">
        <f t="shared" si="40"/>
        <v>83.37</v>
      </c>
      <c r="H510" s="3024"/>
      <c r="I510" s="3024"/>
      <c r="J510" s="3024"/>
      <c r="K510" s="3024">
        <f t="shared" si="23"/>
        <v>83.37</v>
      </c>
      <c r="L510" s="3024">
        <f t="shared" si="35"/>
        <v>83.37</v>
      </c>
      <c r="M510" s="3024"/>
    </row>
    <row r="511" spans="1:13">
      <c r="A511" s="3024"/>
      <c r="B511" s="3024"/>
      <c r="C511" s="3024">
        <v>-206</v>
      </c>
      <c r="D511" s="3024"/>
      <c r="E511" s="3024">
        <v>84.09</v>
      </c>
      <c r="F511" s="3024"/>
      <c r="G511" s="3024">
        <f t="shared" si="40"/>
        <v>84.09</v>
      </c>
      <c r="H511" s="3024"/>
      <c r="I511" s="3024"/>
      <c r="J511" s="3024"/>
      <c r="K511" s="3024">
        <f t="shared" si="23"/>
        <v>84.09</v>
      </c>
      <c r="L511" s="3024">
        <f t="shared" si="35"/>
        <v>84.09</v>
      </c>
      <c r="M511" s="3024"/>
    </row>
    <row r="512" spans="1:13">
      <c r="A512" s="3024"/>
      <c r="B512" s="3024"/>
      <c r="C512" s="3024">
        <v>-207</v>
      </c>
      <c r="D512" s="3024"/>
      <c r="E512" s="3024">
        <v>84.09</v>
      </c>
      <c r="F512" s="3024"/>
      <c r="G512" s="3024">
        <f t="shared" si="40"/>
        <v>84.09</v>
      </c>
      <c r="H512" s="3024"/>
      <c r="I512" s="3024"/>
      <c r="J512" s="3024"/>
      <c r="K512" s="3024">
        <f t="shared" si="23"/>
        <v>84.09</v>
      </c>
      <c r="L512" s="3024">
        <f t="shared" si="35"/>
        <v>84.09</v>
      </c>
      <c r="M512" s="3024"/>
    </row>
    <row r="513" spans="1:13">
      <c r="A513" s="3024"/>
      <c r="B513" s="3024"/>
      <c r="C513" s="3024">
        <v>-208</v>
      </c>
      <c r="D513" s="3024"/>
      <c r="E513" s="3024">
        <v>84.09</v>
      </c>
      <c r="F513" s="3024"/>
      <c r="G513" s="3024">
        <f t="shared" si="40"/>
        <v>84.09</v>
      </c>
      <c r="H513" s="3024"/>
      <c r="I513" s="3024"/>
      <c r="J513" s="3024"/>
      <c r="K513" s="3024">
        <f t="shared" si="23"/>
        <v>84.09</v>
      </c>
      <c r="L513" s="3024">
        <f t="shared" si="35"/>
        <v>84.09</v>
      </c>
      <c r="M513" s="3024"/>
    </row>
    <row r="514" spans="1:13">
      <c r="A514" s="3024"/>
      <c r="B514" s="3024"/>
      <c r="C514" s="3024">
        <v>101</v>
      </c>
      <c r="D514" s="3024">
        <v>134.07</v>
      </c>
      <c r="E514" s="3024">
        <v>84.2</v>
      </c>
      <c r="F514" s="3024"/>
      <c r="G514" s="3024">
        <f t="shared" si="40"/>
        <v>218.26999999999998</v>
      </c>
      <c r="H514" s="3024"/>
      <c r="I514" s="3024"/>
      <c r="J514" s="3024">
        <f>J474</f>
        <v>108.56</v>
      </c>
      <c r="K514" s="3024">
        <f t="shared" si="23"/>
        <v>109.70999999999998</v>
      </c>
      <c r="L514" s="3024">
        <f t="shared" si="35"/>
        <v>218.26999999999998</v>
      </c>
      <c r="M514" s="3024">
        <f>J514+J515+J516+J517+J518+J519+J520+J521</f>
        <v>868.4699999999998</v>
      </c>
    </row>
    <row r="515" spans="1:13">
      <c r="A515" s="3024"/>
      <c r="B515" s="3024"/>
      <c r="C515" s="3024">
        <v>102</v>
      </c>
      <c r="D515" s="3024">
        <v>134.07</v>
      </c>
      <c r="E515" s="3024">
        <v>84.35</v>
      </c>
      <c r="F515" s="3024"/>
      <c r="G515" s="3024">
        <f t="shared" si="40"/>
        <v>218.42</v>
      </c>
      <c r="H515" s="3024"/>
      <c r="I515" s="3024"/>
      <c r="J515" s="3024">
        <f>J514</f>
        <v>108.56</v>
      </c>
      <c r="K515" s="3024">
        <f t="shared" si="23"/>
        <v>109.85999999999999</v>
      </c>
      <c r="L515" s="3024">
        <f t="shared" si="35"/>
        <v>218.42</v>
      </c>
      <c r="M515" s="3024"/>
    </row>
    <row r="516" spans="1:13">
      <c r="A516" s="3024"/>
      <c r="B516" s="3024"/>
      <c r="C516" s="3024">
        <v>103</v>
      </c>
      <c r="D516" s="3024">
        <v>134.07</v>
      </c>
      <c r="E516" s="3024">
        <v>84.35</v>
      </c>
      <c r="F516" s="3024"/>
      <c r="G516" s="3024">
        <f t="shared" si="40"/>
        <v>218.42</v>
      </c>
      <c r="H516" s="3024"/>
      <c r="I516" s="3024"/>
      <c r="J516" s="3024">
        <f>J514</f>
        <v>108.56</v>
      </c>
      <c r="K516" s="3024">
        <f t="shared" si="23"/>
        <v>109.85999999999999</v>
      </c>
      <c r="L516" s="3024">
        <f t="shared" si="35"/>
        <v>218.42</v>
      </c>
      <c r="M516" s="3024"/>
    </row>
    <row r="517" spans="1:13">
      <c r="A517" s="3024"/>
      <c r="B517" s="3024"/>
      <c r="C517" s="3024">
        <v>104</v>
      </c>
      <c r="D517" s="3024">
        <v>134.26</v>
      </c>
      <c r="E517" s="3024">
        <v>84.61</v>
      </c>
      <c r="F517" s="3024"/>
      <c r="G517" s="3024">
        <f t="shared" si="40"/>
        <v>218.87</v>
      </c>
      <c r="H517" s="3024"/>
      <c r="I517" s="3024"/>
      <c r="J517" s="3024">
        <f>J514</f>
        <v>108.56</v>
      </c>
      <c r="K517" s="3024">
        <f t="shared" si="23"/>
        <v>110.31</v>
      </c>
      <c r="L517" s="3024">
        <f t="shared" si="35"/>
        <v>218.87</v>
      </c>
      <c r="M517" s="3024"/>
    </row>
    <row r="518" spans="1:13">
      <c r="A518" s="3024"/>
      <c r="B518" s="3024"/>
      <c r="C518" s="3024">
        <v>105</v>
      </c>
      <c r="D518" s="3024">
        <v>134.07</v>
      </c>
      <c r="E518" s="3024">
        <v>84.2</v>
      </c>
      <c r="F518" s="3024"/>
      <c r="G518" s="3024">
        <f t="shared" si="40"/>
        <v>218.26999999999998</v>
      </c>
      <c r="H518" s="3024"/>
      <c r="I518" s="3024"/>
      <c r="J518" s="3024">
        <f>J514</f>
        <v>108.56</v>
      </c>
      <c r="K518" s="3024">
        <f t="shared" si="23"/>
        <v>109.70999999999998</v>
      </c>
      <c r="L518" s="3024">
        <f t="shared" si="35"/>
        <v>218.26999999999998</v>
      </c>
      <c r="M518" s="3024"/>
    </row>
    <row r="519" spans="1:13">
      <c r="A519" s="3024"/>
      <c r="B519" s="3024"/>
      <c r="C519" s="3024">
        <v>106</v>
      </c>
      <c r="D519" s="3024">
        <v>134.07</v>
      </c>
      <c r="E519" s="3024">
        <v>84.35</v>
      </c>
      <c r="F519" s="3024"/>
      <c r="G519" s="3024">
        <f t="shared" si="40"/>
        <v>218.42</v>
      </c>
      <c r="H519" s="3024"/>
      <c r="I519" s="3024"/>
      <c r="J519" s="3024">
        <f>J514</f>
        <v>108.56</v>
      </c>
      <c r="K519" s="3024">
        <f t="shared" si="23"/>
        <v>109.85999999999999</v>
      </c>
      <c r="L519" s="3024">
        <f t="shared" si="35"/>
        <v>218.42</v>
      </c>
      <c r="M519" s="3024"/>
    </row>
    <row r="520" spans="1:13">
      <c r="A520" s="3024"/>
      <c r="B520" s="3024"/>
      <c r="C520" s="3024">
        <v>107</v>
      </c>
      <c r="D520" s="3024">
        <v>134.07</v>
      </c>
      <c r="E520" s="3024">
        <v>84.35</v>
      </c>
      <c r="F520" s="3024"/>
      <c r="G520" s="3024">
        <f t="shared" si="40"/>
        <v>218.42</v>
      </c>
      <c r="H520" s="3024"/>
      <c r="I520" s="3024"/>
      <c r="J520" s="3024">
        <f>J514</f>
        <v>108.56</v>
      </c>
      <c r="K520" s="3024">
        <f t="shared" si="23"/>
        <v>109.85999999999999</v>
      </c>
      <c r="L520" s="3024">
        <f t="shared" si="35"/>
        <v>218.42</v>
      </c>
      <c r="M520" s="3024"/>
    </row>
    <row r="521" spans="1:13">
      <c r="A521" s="3024"/>
      <c r="B521" s="3024"/>
      <c r="C521" s="3024">
        <v>108</v>
      </c>
      <c r="D521" s="3024">
        <v>134.26</v>
      </c>
      <c r="E521" s="3024">
        <v>84.61</v>
      </c>
      <c r="F521" s="3024"/>
      <c r="G521" s="3024">
        <f t="shared" si="40"/>
        <v>218.87</v>
      </c>
      <c r="H521" s="3024"/>
      <c r="I521" s="3024"/>
      <c r="J521" s="3024">
        <v>108.55</v>
      </c>
      <c r="K521" s="3024">
        <f t="shared" si="23"/>
        <v>110.32000000000001</v>
      </c>
      <c r="L521" s="3024">
        <f t="shared" si="35"/>
        <v>218.87</v>
      </c>
      <c r="M521" s="3024"/>
    </row>
    <row r="522" spans="1:13">
      <c r="A522" s="3024" t="s">
        <v>3124</v>
      </c>
      <c r="B522" s="3024">
        <v>8</v>
      </c>
      <c r="C522" s="3024">
        <v>-201</v>
      </c>
      <c r="D522" s="3024"/>
      <c r="E522" s="3024">
        <v>83.36</v>
      </c>
      <c r="F522" s="3024"/>
      <c r="G522" s="3024">
        <f t="shared" si="2"/>
        <v>83.36</v>
      </c>
      <c r="H522" s="3024">
        <f>SUM(G522:G537)</f>
        <v>2418.62</v>
      </c>
      <c r="I522" s="3024"/>
      <c r="J522" s="3024"/>
      <c r="K522" s="3024">
        <f t="shared" si="23"/>
        <v>83.36</v>
      </c>
      <c r="L522" s="3024">
        <f t="shared" si="35"/>
        <v>83.36</v>
      </c>
      <c r="M522" s="3024"/>
    </row>
    <row r="523" spans="1:13">
      <c r="A523" s="3024"/>
      <c r="B523" s="3024"/>
      <c r="C523" s="3024">
        <v>-202</v>
      </c>
      <c r="D523" s="3024"/>
      <c r="E523" s="3024">
        <v>84.08</v>
      </c>
      <c r="F523" s="3024"/>
      <c r="G523" s="3024">
        <f t="shared" ref="G523:G537" si="41">SUM(D523:F523)</f>
        <v>84.08</v>
      </c>
      <c r="H523" s="3024"/>
      <c r="I523" s="3024"/>
      <c r="J523" s="3024"/>
      <c r="K523" s="3024">
        <f t="shared" si="23"/>
        <v>84.08</v>
      </c>
      <c r="L523" s="3024">
        <f t="shared" si="35"/>
        <v>84.08</v>
      </c>
      <c r="M523" s="3024"/>
    </row>
    <row r="524" spans="1:13">
      <c r="A524" s="3024"/>
      <c r="B524" s="3024"/>
      <c r="C524" s="3024">
        <v>-203</v>
      </c>
      <c r="D524" s="3024"/>
      <c r="E524" s="3024">
        <v>84.08</v>
      </c>
      <c r="F524" s="3024"/>
      <c r="G524" s="3024">
        <f t="shared" si="41"/>
        <v>84.08</v>
      </c>
      <c r="H524" s="3024"/>
      <c r="I524" s="3024"/>
      <c r="J524" s="3024"/>
      <c r="K524" s="3024">
        <f t="shared" si="23"/>
        <v>84.08</v>
      </c>
      <c r="L524" s="3024">
        <f t="shared" si="35"/>
        <v>84.08</v>
      </c>
      <c r="M524" s="3024"/>
    </row>
    <row r="525" spans="1:13">
      <c r="A525" s="3024"/>
      <c r="B525" s="3024"/>
      <c r="C525" s="3024">
        <v>-204</v>
      </c>
      <c r="D525" s="3024"/>
      <c r="E525" s="3024">
        <v>84.08</v>
      </c>
      <c r="F525" s="3024"/>
      <c r="G525" s="3024">
        <f t="shared" si="41"/>
        <v>84.08</v>
      </c>
      <c r="H525" s="3024"/>
      <c r="I525" s="3024"/>
      <c r="J525" s="3024"/>
      <c r="K525" s="3024">
        <f t="shared" si="23"/>
        <v>84.08</v>
      </c>
      <c r="L525" s="3024">
        <f t="shared" si="35"/>
        <v>84.08</v>
      </c>
      <c r="M525" s="3024"/>
    </row>
    <row r="526" spans="1:13">
      <c r="A526" s="3024"/>
      <c r="B526" s="3024"/>
      <c r="C526" s="3024">
        <v>-205</v>
      </c>
      <c r="D526" s="3024"/>
      <c r="E526" s="3024">
        <v>83.36</v>
      </c>
      <c r="F526" s="3024"/>
      <c r="G526" s="3024">
        <f t="shared" si="41"/>
        <v>83.36</v>
      </c>
      <c r="H526" s="3024"/>
      <c r="I526" s="3024"/>
      <c r="J526" s="3024"/>
      <c r="K526" s="3024">
        <f t="shared" si="23"/>
        <v>83.36</v>
      </c>
      <c r="L526" s="3024">
        <f t="shared" ref="L526:L781" si="42">J526+K526</f>
        <v>83.36</v>
      </c>
      <c r="M526" s="3024"/>
    </row>
    <row r="527" spans="1:13">
      <c r="A527" s="3024"/>
      <c r="B527" s="3024"/>
      <c r="C527" s="3024">
        <v>-206</v>
      </c>
      <c r="D527" s="3024"/>
      <c r="E527" s="3024">
        <v>84.08</v>
      </c>
      <c r="F527" s="3024"/>
      <c r="G527" s="3024">
        <f t="shared" si="41"/>
        <v>84.08</v>
      </c>
      <c r="H527" s="3024"/>
      <c r="I527" s="3024"/>
      <c r="J527" s="3024"/>
      <c r="K527" s="3024">
        <f t="shared" si="23"/>
        <v>84.08</v>
      </c>
      <c r="L527" s="3024">
        <f t="shared" si="42"/>
        <v>84.08</v>
      </c>
      <c r="M527" s="3024"/>
    </row>
    <row r="528" spans="1:13">
      <c r="A528" s="3024"/>
      <c r="B528" s="3024"/>
      <c r="C528" s="3024">
        <v>-207</v>
      </c>
      <c r="D528" s="3024"/>
      <c r="E528" s="3024">
        <v>84.08</v>
      </c>
      <c r="F528" s="3024"/>
      <c r="G528" s="3024">
        <f t="shared" si="41"/>
        <v>84.08</v>
      </c>
      <c r="H528" s="3024"/>
      <c r="I528" s="3024"/>
      <c r="J528" s="3024"/>
      <c r="K528" s="3024">
        <f t="shared" si="23"/>
        <v>84.08</v>
      </c>
      <c r="L528" s="3024">
        <f t="shared" si="42"/>
        <v>84.08</v>
      </c>
      <c r="M528" s="3024"/>
    </row>
    <row r="529" spans="1:13">
      <c r="A529" s="3024"/>
      <c r="B529" s="3024"/>
      <c r="C529" s="3024">
        <v>-208</v>
      </c>
      <c r="D529" s="3024"/>
      <c r="E529" s="3024">
        <v>84.08</v>
      </c>
      <c r="F529" s="3024"/>
      <c r="G529" s="3024">
        <f t="shared" si="41"/>
        <v>84.08</v>
      </c>
      <c r="H529" s="3024"/>
      <c r="I529" s="3024"/>
      <c r="J529" s="3024"/>
      <c r="K529" s="3024">
        <f t="shared" si="23"/>
        <v>84.08</v>
      </c>
      <c r="L529" s="3024">
        <f t="shared" si="42"/>
        <v>84.08</v>
      </c>
      <c r="M529" s="3024"/>
    </row>
    <row r="530" spans="1:13">
      <c r="A530" s="3024"/>
      <c r="B530" s="3024"/>
      <c r="C530" s="3024">
        <v>101</v>
      </c>
      <c r="D530" s="3024">
        <v>134.02000000000001</v>
      </c>
      <c r="E530" s="3024">
        <v>84.18</v>
      </c>
      <c r="F530" s="3024"/>
      <c r="G530" s="3024">
        <f t="shared" si="41"/>
        <v>218.20000000000002</v>
      </c>
      <c r="H530" s="3024"/>
      <c r="I530" s="3024"/>
      <c r="J530" s="3024">
        <f>J514</f>
        <v>108.56</v>
      </c>
      <c r="K530" s="3024">
        <f t="shared" si="23"/>
        <v>109.64000000000001</v>
      </c>
      <c r="L530" s="3024">
        <f t="shared" si="42"/>
        <v>218.20000000000002</v>
      </c>
      <c r="M530" s="3024">
        <f>SUM(J530:J537)</f>
        <v>868.4699999999998</v>
      </c>
    </row>
    <row r="531" spans="1:13">
      <c r="A531" s="3024"/>
      <c r="B531" s="3024"/>
      <c r="C531" s="3024">
        <v>102</v>
      </c>
      <c r="D531" s="3024">
        <v>134.02000000000001</v>
      </c>
      <c r="E531" s="3024">
        <v>84.33</v>
      </c>
      <c r="F531" s="3024"/>
      <c r="G531" s="3024">
        <f t="shared" si="41"/>
        <v>218.35000000000002</v>
      </c>
      <c r="H531" s="3024"/>
      <c r="I531" s="3024"/>
      <c r="J531" s="3024">
        <f>J530</f>
        <v>108.56</v>
      </c>
      <c r="K531" s="3024">
        <f t="shared" si="23"/>
        <v>109.79000000000002</v>
      </c>
      <c r="L531" s="3024">
        <f t="shared" si="42"/>
        <v>218.35000000000002</v>
      </c>
      <c r="M531" s="3024"/>
    </row>
    <row r="532" spans="1:13">
      <c r="A532" s="3024"/>
      <c r="B532" s="3024"/>
      <c r="C532" s="3024">
        <v>103</v>
      </c>
      <c r="D532" s="3024">
        <v>134.02000000000001</v>
      </c>
      <c r="E532" s="3024">
        <v>84.33</v>
      </c>
      <c r="F532" s="3024"/>
      <c r="G532" s="3024">
        <f t="shared" si="41"/>
        <v>218.35000000000002</v>
      </c>
      <c r="H532" s="3024"/>
      <c r="I532" s="3024"/>
      <c r="J532" s="3024">
        <f>J530</f>
        <v>108.56</v>
      </c>
      <c r="K532" s="3024">
        <f t="shared" si="23"/>
        <v>109.79000000000002</v>
      </c>
      <c r="L532" s="3024">
        <f t="shared" si="42"/>
        <v>218.35000000000002</v>
      </c>
      <c r="M532" s="3024"/>
    </row>
    <row r="533" spans="1:13">
      <c r="A533" s="3024"/>
      <c r="B533" s="3024"/>
      <c r="C533" s="3024">
        <v>104</v>
      </c>
      <c r="D533" s="3024">
        <v>134.21</v>
      </c>
      <c r="E533" s="3024">
        <v>84.6</v>
      </c>
      <c r="F533" s="3024"/>
      <c r="G533" s="3024">
        <f t="shared" si="41"/>
        <v>218.81</v>
      </c>
      <c r="H533" s="3024"/>
      <c r="I533" s="3024"/>
      <c r="J533" s="3024">
        <f>J530</f>
        <v>108.56</v>
      </c>
      <c r="K533" s="3024">
        <f t="shared" si="23"/>
        <v>110.25</v>
      </c>
      <c r="L533" s="3024">
        <f t="shared" si="42"/>
        <v>218.81</v>
      </c>
      <c r="M533" s="3024"/>
    </row>
    <row r="534" spans="1:13">
      <c r="A534" s="3024"/>
      <c r="B534" s="3024"/>
      <c r="C534" s="3024">
        <v>105</v>
      </c>
      <c r="D534" s="3024">
        <v>134.02000000000001</v>
      </c>
      <c r="E534" s="3024">
        <v>84.18</v>
      </c>
      <c r="F534" s="3024"/>
      <c r="G534" s="3024">
        <f t="shared" si="41"/>
        <v>218.20000000000002</v>
      </c>
      <c r="H534" s="3024"/>
      <c r="I534" s="3024"/>
      <c r="J534" s="3024">
        <f>J530</f>
        <v>108.56</v>
      </c>
      <c r="K534" s="3024">
        <f t="shared" si="23"/>
        <v>109.64000000000001</v>
      </c>
      <c r="L534" s="3024">
        <f t="shared" si="42"/>
        <v>218.20000000000002</v>
      </c>
      <c r="M534" s="3024"/>
    </row>
    <row r="535" spans="1:13">
      <c r="A535" s="3024"/>
      <c r="B535" s="3024"/>
      <c r="C535" s="3024">
        <v>106</v>
      </c>
      <c r="D535" s="3024">
        <v>134.02000000000001</v>
      </c>
      <c r="E535" s="3024">
        <v>84.33</v>
      </c>
      <c r="F535" s="3024"/>
      <c r="G535" s="3024">
        <f t="shared" si="41"/>
        <v>218.35000000000002</v>
      </c>
      <c r="H535" s="3024"/>
      <c r="I535" s="3024"/>
      <c r="J535" s="3024">
        <f>J530</f>
        <v>108.56</v>
      </c>
      <c r="K535" s="3024">
        <f t="shared" si="23"/>
        <v>109.79000000000002</v>
      </c>
      <c r="L535" s="3024">
        <f t="shared" si="42"/>
        <v>218.35000000000002</v>
      </c>
      <c r="M535" s="3024"/>
    </row>
    <row r="536" spans="1:13">
      <c r="A536" s="3024"/>
      <c r="B536" s="3024"/>
      <c r="C536" s="3024">
        <v>107</v>
      </c>
      <c r="D536" s="3024">
        <v>134.02000000000001</v>
      </c>
      <c r="E536" s="3024">
        <v>84.33</v>
      </c>
      <c r="F536" s="3024"/>
      <c r="G536" s="3024">
        <f t="shared" si="41"/>
        <v>218.35000000000002</v>
      </c>
      <c r="H536" s="3024"/>
      <c r="I536" s="3024"/>
      <c r="J536" s="3024">
        <f>J530</f>
        <v>108.56</v>
      </c>
      <c r="K536" s="3024">
        <f t="shared" si="23"/>
        <v>109.79000000000002</v>
      </c>
      <c r="L536" s="3024">
        <f t="shared" si="42"/>
        <v>218.35000000000002</v>
      </c>
      <c r="M536" s="3024"/>
    </row>
    <row r="537" spans="1:13">
      <c r="A537" s="3024"/>
      <c r="B537" s="3024"/>
      <c r="C537" s="3024">
        <v>108</v>
      </c>
      <c r="D537" s="3024">
        <v>134.21</v>
      </c>
      <c r="E537" s="3024">
        <v>84.6</v>
      </c>
      <c r="F537" s="3024"/>
      <c r="G537" s="3024">
        <f t="shared" si="41"/>
        <v>218.81</v>
      </c>
      <c r="H537" s="3024"/>
      <c r="I537" s="3024"/>
      <c r="J537" s="3024">
        <f>J521</f>
        <v>108.55</v>
      </c>
      <c r="K537" s="3024">
        <f t="shared" si="23"/>
        <v>110.26</v>
      </c>
      <c r="L537" s="3024">
        <f t="shared" si="42"/>
        <v>218.81</v>
      </c>
      <c r="M537" s="3024"/>
    </row>
    <row r="538" spans="1:13">
      <c r="A538" s="3024" t="s">
        <v>3125</v>
      </c>
      <c r="B538" s="3024">
        <v>2</v>
      </c>
      <c r="C538" s="3024">
        <v>-101</v>
      </c>
      <c r="D538" s="3024"/>
      <c r="E538" s="3024">
        <v>70.25</v>
      </c>
      <c r="F538" s="3024"/>
      <c r="G538" s="3024">
        <f t="shared" si="2"/>
        <v>70.25</v>
      </c>
      <c r="H538" s="3024">
        <f>SUM(G538:G541)</f>
        <v>1170.81</v>
      </c>
      <c r="I538" s="3024"/>
      <c r="J538" s="3024"/>
      <c r="K538" s="3024">
        <f t="shared" si="23"/>
        <v>70.25</v>
      </c>
      <c r="L538" s="3024">
        <f t="shared" si="42"/>
        <v>70.25</v>
      </c>
      <c r="M538" s="3024"/>
    </row>
    <row r="539" spans="1:13">
      <c r="A539" s="3024"/>
      <c r="B539" s="3024"/>
      <c r="C539" s="3024">
        <v>-102</v>
      </c>
      <c r="D539" s="3024"/>
      <c r="E539" s="3024">
        <v>70.25</v>
      </c>
      <c r="F539" s="3024"/>
      <c r="G539" s="3024">
        <f t="shared" si="2"/>
        <v>70.25</v>
      </c>
      <c r="H539" s="3024"/>
      <c r="I539" s="3024"/>
      <c r="J539" s="3024"/>
      <c r="K539" s="3024">
        <f t="shared" si="23"/>
        <v>70.25</v>
      </c>
      <c r="L539" s="3024">
        <f t="shared" si="42"/>
        <v>70.25</v>
      </c>
      <c r="M539" s="3024"/>
    </row>
    <row r="540" spans="1:13">
      <c r="A540" s="3024"/>
      <c r="B540" s="3024"/>
      <c r="C540" s="3024">
        <v>101</v>
      </c>
      <c r="D540" s="3024">
        <v>223.12</v>
      </c>
      <c r="E540" s="3024">
        <v>292.07</v>
      </c>
      <c r="F540" s="3024"/>
      <c r="G540" s="3024">
        <f t="shared" si="2"/>
        <v>515.19000000000005</v>
      </c>
      <c r="H540" s="3024"/>
      <c r="I540" s="3024"/>
      <c r="J540" s="3024">
        <f>351.38/2</f>
        <v>175.69</v>
      </c>
      <c r="K540" s="3024">
        <f t="shared" si="23"/>
        <v>339.50000000000006</v>
      </c>
      <c r="L540" s="3024">
        <f t="shared" si="42"/>
        <v>515.19000000000005</v>
      </c>
      <c r="M540" s="3024">
        <f>J540+J541</f>
        <v>351.38</v>
      </c>
    </row>
    <row r="541" spans="1:13">
      <c r="A541" s="3024"/>
      <c r="B541" s="3024"/>
      <c r="C541" s="3024">
        <v>102</v>
      </c>
      <c r="D541" s="3024">
        <v>223.02</v>
      </c>
      <c r="E541" s="3024">
        <v>292.10000000000002</v>
      </c>
      <c r="F541" s="3024"/>
      <c r="G541" s="3024">
        <f t="shared" si="2"/>
        <v>515.12</v>
      </c>
      <c r="H541" s="3024"/>
      <c r="I541" s="3024"/>
      <c r="J541" s="3024">
        <f>J540</f>
        <v>175.69</v>
      </c>
      <c r="K541" s="3024">
        <f t="shared" si="23"/>
        <v>339.43</v>
      </c>
      <c r="L541" s="3024">
        <f t="shared" si="42"/>
        <v>515.12</v>
      </c>
      <c r="M541" s="3024"/>
    </row>
    <row r="542" spans="1:13">
      <c r="A542" s="3024" t="s">
        <v>3126</v>
      </c>
      <c r="B542" s="3024">
        <v>2</v>
      </c>
      <c r="C542" s="3024">
        <v>-101</v>
      </c>
      <c r="D542" s="3024"/>
      <c r="E542" s="3024">
        <v>70.25</v>
      </c>
      <c r="F542" s="3024"/>
      <c r="G542" s="3024">
        <f t="shared" si="2"/>
        <v>70.25</v>
      </c>
      <c r="H542" s="3024">
        <f>SUM(G542:G545)</f>
        <v>1170.81</v>
      </c>
      <c r="I542" s="3024"/>
      <c r="J542" s="3024"/>
      <c r="K542" s="3024">
        <f t="shared" si="23"/>
        <v>70.25</v>
      </c>
      <c r="L542" s="3024">
        <f t="shared" si="42"/>
        <v>70.25</v>
      </c>
      <c r="M542" s="3024"/>
    </row>
    <row r="543" spans="1:13">
      <c r="A543" s="3024"/>
      <c r="B543" s="3024"/>
      <c r="C543" s="3024">
        <v>-102</v>
      </c>
      <c r="D543" s="3024"/>
      <c r="E543" s="3024">
        <v>70.25</v>
      </c>
      <c r="F543" s="3024"/>
      <c r="G543" s="3024">
        <f t="shared" si="2"/>
        <v>70.25</v>
      </c>
      <c r="H543" s="3024"/>
      <c r="I543" s="3024"/>
      <c r="J543" s="3024"/>
      <c r="K543" s="3024">
        <f t="shared" si="23"/>
        <v>70.25</v>
      </c>
      <c r="L543" s="3024">
        <f t="shared" si="42"/>
        <v>70.25</v>
      </c>
      <c r="M543" s="3024"/>
    </row>
    <row r="544" spans="1:13">
      <c r="A544" s="3024"/>
      <c r="B544" s="3024"/>
      <c r="C544" s="3024">
        <v>101</v>
      </c>
      <c r="D544" s="3024">
        <v>223.12</v>
      </c>
      <c r="E544" s="3024">
        <v>292.07</v>
      </c>
      <c r="F544" s="3024"/>
      <c r="G544" s="3024">
        <f t="shared" si="2"/>
        <v>515.19000000000005</v>
      </c>
      <c r="H544" s="3024"/>
      <c r="I544" s="3024"/>
      <c r="J544" s="3024">
        <f>J540</f>
        <v>175.69</v>
      </c>
      <c r="K544" s="3024">
        <f>G544-J544</f>
        <v>339.50000000000006</v>
      </c>
      <c r="L544" s="3024">
        <f t="shared" si="42"/>
        <v>515.19000000000005</v>
      </c>
      <c r="M544" s="3024">
        <f>J544+J545</f>
        <v>351.38</v>
      </c>
    </row>
    <row r="545" spans="1:13">
      <c r="A545" s="3024"/>
      <c r="B545" s="3024"/>
      <c r="C545" s="3024">
        <v>102</v>
      </c>
      <c r="D545" s="3024">
        <v>223.02</v>
      </c>
      <c r="E545" s="3024">
        <v>292.10000000000002</v>
      </c>
      <c r="F545" s="3024"/>
      <c r="G545" s="3024">
        <f t="shared" si="2"/>
        <v>515.12</v>
      </c>
      <c r="H545" s="3024"/>
      <c r="I545" s="3024"/>
      <c r="J545" s="3024">
        <f>J541</f>
        <v>175.69</v>
      </c>
      <c r="K545" s="3024">
        <f>G545-J545</f>
        <v>339.43</v>
      </c>
      <c r="L545" s="3024">
        <f>J545+K545</f>
        <v>515.12</v>
      </c>
      <c r="M545" s="3024"/>
    </row>
    <row r="546" spans="1:13">
      <c r="A546" s="3024" t="s">
        <v>3127</v>
      </c>
      <c r="B546" s="3024">
        <v>8</v>
      </c>
      <c r="C546" s="3024">
        <v>-201</v>
      </c>
      <c r="D546" s="3024"/>
      <c r="E546" s="3024">
        <v>83.36</v>
      </c>
      <c r="F546" s="3024"/>
      <c r="G546" s="3024">
        <f t="shared" si="2"/>
        <v>83.36</v>
      </c>
      <c r="H546" s="3024">
        <f>SUM(G546:G561)</f>
        <v>2418.62</v>
      </c>
      <c r="I546" s="3024"/>
      <c r="J546" s="3024"/>
      <c r="K546" s="3024">
        <f t="shared" si="23"/>
        <v>83.36</v>
      </c>
      <c r="L546" s="3024">
        <f t="shared" si="42"/>
        <v>83.36</v>
      </c>
      <c r="M546" s="3024"/>
    </row>
    <row r="547" spans="1:13">
      <c r="A547" s="3024"/>
      <c r="B547" s="3024"/>
      <c r="C547" s="3024">
        <v>-202</v>
      </c>
      <c r="D547" s="3024"/>
      <c r="E547" s="3024">
        <v>84.08</v>
      </c>
      <c r="F547" s="3024"/>
      <c r="G547" s="3024">
        <f t="shared" ref="G547:G610" si="43">SUM(D547:F547)</f>
        <v>84.08</v>
      </c>
      <c r="H547" s="3024"/>
      <c r="I547" s="3024"/>
      <c r="J547" s="3024"/>
      <c r="K547" s="3024">
        <f t="shared" si="23"/>
        <v>84.08</v>
      </c>
      <c r="L547" s="3024">
        <f t="shared" si="42"/>
        <v>84.08</v>
      </c>
      <c r="M547" s="3024"/>
    </row>
    <row r="548" spans="1:13">
      <c r="A548" s="3024"/>
      <c r="B548" s="3024"/>
      <c r="C548" s="3024">
        <v>-203</v>
      </c>
      <c r="D548" s="3024"/>
      <c r="E548" s="3024">
        <v>84.08</v>
      </c>
      <c r="F548" s="3024"/>
      <c r="G548" s="3024">
        <f t="shared" si="43"/>
        <v>84.08</v>
      </c>
      <c r="H548" s="3024"/>
      <c r="I548" s="3024"/>
      <c r="J548" s="3024"/>
      <c r="K548" s="3024">
        <f t="shared" si="23"/>
        <v>84.08</v>
      </c>
      <c r="L548" s="3024">
        <f t="shared" si="42"/>
        <v>84.08</v>
      </c>
      <c r="M548" s="3024"/>
    </row>
    <row r="549" spans="1:13">
      <c r="A549" s="3024"/>
      <c r="B549" s="3024"/>
      <c r="C549" s="3024">
        <v>-204</v>
      </c>
      <c r="D549" s="3024"/>
      <c r="E549" s="3024">
        <v>84.08</v>
      </c>
      <c r="F549" s="3024"/>
      <c r="G549" s="3024">
        <f t="shared" si="43"/>
        <v>84.08</v>
      </c>
      <c r="H549" s="3024"/>
      <c r="I549" s="3024"/>
      <c r="J549" s="3024"/>
      <c r="K549" s="3024">
        <f t="shared" si="23"/>
        <v>84.08</v>
      </c>
      <c r="L549" s="3024">
        <f t="shared" si="42"/>
        <v>84.08</v>
      </c>
      <c r="M549" s="3024"/>
    </row>
    <row r="550" spans="1:13">
      <c r="A550" s="3024"/>
      <c r="B550" s="3024"/>
      <c r="C550" s="3024">
        <v>-205</v>
      </c>
      <c r="D550" s="3024"/>
      <c r="E550" s="3024">
        <v>83.36</v>
      </c>
      <c r="F550" s="3024"/>
      <c r="G550" s="3024">
        <f t="shared" si="43"/>
        <v>83.36</v>
      </c>
      <c r="H550" s="3024"/>
      <c r="I550" s="3024"/>
      <c r="J550" s="3024"/>
      <c r="K550" s="3024">
        <f t="shared" si="23"/>
        <v>83.36</v>
      </c>
      <c r="L550" s="3024">
        <f t="shared" si="42"/>
        <v>83.36</v>
      </c>
      <c r="M550" s="3024"/>
    </row>
    <row r="551" spans="1:13">
      <c r="A551" s="3024"/>
      <c r="B551" s="3024"/>
      <c r="C551" s="3024">
        <v>-206</v>
      </c>
      <c r="D551" s="3024"/>
      <c r="E551" s="3024">
        <v>84.08</v>
      </c>
      <c r="F551" s="3024"/>
      <c r="G551" s="3024">
        <f t="shared" si="43"/>
        <v>84.08</v>
      </c>
      <c r="H551" s="3024"/>
      <c r="I551" s="3024"/>
      <c r="J551" s="3024"/>
      <c r="K551" s="3024">
        <f t="shared" si="23"/>
        <v>84.08</v>
      </c>
      <c r="L551" s="3024">
        <f t="shared" si="42"/>
        <v>84.08</v>
      </c>
      <c r="M551" s="3024"/>
    </row>
    <row r="552" spans="1:13">
      <c r="A552" s="3024"/>
      <c r="B552" s="3024"/>
      <c r="C552" s="3024">
        <v>-207</v>
      </c>
      <c r="D552" s="3024"/>
      <c r="E552" s="3024">
        <v>84.08</v>
      </c>
      <c r="F552" s="3024"/>
      <c r="G552" s="3024">
        <f t="shared" si="43"/>
        <v>84.08</v>
      </c>
      <c r="H552" s="3024"/>
      <c r="I552" s="3024"/>
      <c r="J552" s="3024"/>
      <c r="K552" s="3024">
        <f t="shared" si="23"/>
        <v>84.08</v>
      </c>
      <c r="L552" s="3024">
        <f t="shared" si="42"/>
        <v>84.08</v>
      </c>
      <c r="M552" s="3024"/>
    </row>
    <row r="553" spans="1:13">
      <c r="A553" s="3024"/>
      <c r="B553" s="3024"/>
      <c r="C553" s="3024">
        <v>-208</v>
      </c>
      <c r="D553" s="3024"/>
      <c r="E553" s="3024">
        <v>84.08</v>
      </c>
      <c r="F553" s="3024"/>
      <c r="G553" s="3024">
        <f t="shared" si="43"/>
        <v>84.08</v>
      </c>
      <c r="H553" s="3024"/>
      <c r="I553" s="3024"/>
      <c r="J553" s="3024"/>
      <c r="K553" s="3024">
        <f t="shared" si="23"/>
        <v>84.08</v>
      </c>
      <c r="L553" s="3024">
        <f t="shared" si="42"/>
        <v>84.08</v>
      </c>
      <c r="M553" s="3024"/>
    </row>
    <row r="554" spans="1:13">
      <c r="A554" s="3024"/>
      <c r="B554" s="3024"/>
      <c r="C554" s="3024">
        <v>101</v>
      </c>
      <c r="D554" s="3024">
        <v>134.02000000000001</v>
      </c>
      <c r="E554" s="3024">
        <v>84.18</v>
      </c>
      <c r="F554" s="3024"/>
      <c r="G554" s="3024">
        <f>SUM(D554:F554)</f>
        <v>218.20000000000002</v>
      </c>
      <c r="H554" s="3024"/>
      <c r="I554" s="3024"/>
      <c r="J554" s="3024">
        <f>J530</f>
        <v>108.56</v>
      </c>
      <c r="K554" s="3024">
        <f t="shared" si="23"/>
        <v>109.64000000000001</v>
      </c>
      <c r="L554" s="3024">
        <f t="shared" si="42"/>
        <v>218.20000000000002</v>
      </c>
      <c r="M554" s="3024">
        <f>SUM(J554:J561)</f>
        <v>868.4699999999998</v>
      </c>
    </row>
    <row r="555" spans="1:13">
      <c r="A555" s="3024"/>
      <c r="B555" s="3024"/>
      <c r="C555" s="3024">
        <v>102</v>
      </c>
      <c r="D555" s="3024">
        <v>134.02000000000001</v>
      </c>
      <c r="E555" s="3024">
        <v>84.33</v>
      </c>
      <c r="F555" s="3024"/>
      <c r="G555" s="3024">
        <f t="shared" si="43"/>
        <v>218.35000000000002</v>
      </c>
      <c r="H555" s="3024"/>
      <c r="I555" s="3024"/>
      <c r="J555" s="3024">
        <f>J554</f>
        <v>108.56</v>
      </c>
      <c r="K555" s="3024">
        <f t="shared" si="23"/>
        <v>109.79000000000002</v>
      </c>
      <c r="L555" s="3024">
        <f t="shared" si="42"/>
        <v>218.35000000000002</v>
      </c>
      <c r="M555" s="3024"/>
    </row>
    <row r="556" spans="1:13">
      <c r="A556" s="3024"/>
      <c r="B556" s="3024"/>
      <c r="C556" s="3024">
        <v>103</v>
      </c>
      <c r="D556" s="3024">
        <v>134.02000000000001</v>
      </c>
      <c r="E556" s="3024">
        <v>84.33</v>
      </c>
      <c r="F556" s="3024"/>
      <c r="G556" s="3024">
        <f t="shared" si="43"/>
        <v>218.35000000000002</v>
      </c>
      <c r="H556" s="3024"/>
      <c r="I556" s="3024"/>
      <c r="J556" s="3024">
        <f>J554</f>
        <v>108.56</v>
      </c>
      <c r="K556" s="3024">
        <f t="shared" si="23"/>
        <v>109.79000000000002</v>
      </c>
      <c r="L556" s="3024">
        <f t="shared" si="42"/>
        <v>218.35000000000002</v>
      </c>
      <c r="M556" s="3024"/>
    </row>
    <row r="557" spans="1:13">
      <c r="A557" s="3024"/>
      <c r="B557" s="3024"/>
      <c r="C557" s="3024">
        <v>104</v>
      </c>
      <c r="D557" s="3024">
        <v>134.21</v>
      </c>
      <c r="E557" s="3024">
        <v>84.6</v>
      </c>
      <c r="F557" s="3024"/>
      <c r="G557" s="3024">
        <f t="shared" si="43"/>
        <v>218.81</v>
      </c>
      <c r="H557" s="3024"/>
      <c r="I557" s="3024"/>
      <c r="J557" s="3024">
        <f>J554</f>
        <v>108.56</v>
      </c>
      <c r="K557" s="3024">
        <f t="shared" si="23"/>
        <v>110.25</v>
      </c>
      <c r="L557" s="3024">
        <f t="shared" si="42"/>
        <v>218.81</v>
      </c>
      <c r="M557" s="3024"/>
    </row>
    <row r="558" spans="1:13">
      <c r="A558" s="3024"/>
      <c r="B558" s="3024"/>
      <c r="C558" s="3024">
        <v>105</v>
      </c>
      <c r="D558" s="3024">
        <v>134.02000000000001</v>
      </c>
      <c r="E558" s="3024">
        <v>84.18</v>
      </c>
      <c r="F558" s="3024"/>
      <c r="G558" s="3024">
        <f t="shared" si="43"/>
        <v>218.20000000000002</v>
      </c>
      <c r="H558" s="3024"/>
      <c r="I558" s="3024"/>
      <c r="J558" s="3024">
        <f>J554</f>
        <v>108.56</v>
      </c>
      <c r="K558" s="3024">
        <f t="shared" si="23"/>
        <v>109.64000000000001</v>
      </c>
      <c r="L558" s="3024">
        <f t="shared" si="42"/>
        <v>218.20000000000002</v>
      </c>
      <c r="M558" s="3024"/>
    </row>
    <row r="559" spans="1:13">
      <c r="A559" s="3024"/>
      <c r="B559" s="3024"/>
      <c r="C559" s="3024">
        <v>106</v>
      </c>
      <c r="D559" s="3024">
        <v>134.02000000000001</v>
      </c>
      <c r="E559" s="3024">
        <v>84.33</v>
      </c>
      <c r="F559" s="3024"/>
      <c r="G559" s="3024">
        <f t="shared" si="43"/>
        <v>218.35000000000002</v>
      </c>
      <c r="H559" s="3024"/>
      <c r="I559" s="3024"/>
      <c r="J559" s="3024">
        <f>J554</f>
        <v>108.56</v>
      </c>
      <c r="K559" s="3024">
        <f t="shared" si="23"/>
        <v>109.79000000000002</v>
      </c>
      <c r="L559" s="3024">
        <f t="shared" si="42"/>
        <v>218.35000000000002</v>
      </c>
      <c r="M559" s="3024"/>
    </row>
    <row r="560" spans="1:13">
      <c r="A560" s="3024"/>
      <c r="B560" s="3024"/>
      <c r="C560" s="3024">
        <v>107</v>
      </c>
      <c r="D560" s="3024">
        <v>134.02000000000001</v>
      </c>
      <c r="E560" s="3024">
        <v>84.33</v>
      </c>
      <c r="F560" s="3024"/>
      <c r="G560" s="3024">
        <f t="shared" si="43"/>
        <v>218.35000000000002</v>
      </c>
      <c r="H560" s="3024"/>
      <c r="I560" s="3024"/>
      <c r="J560" s="3024">
        <f>J554</f>
        <v>108.56</v>
      </c>
      <c r="K560" s="3024">
        <f t="shared" si="23"/>
        <v>109.79000000000002</v>
      </c>
      <c r="L560" s="3024">
        <f t="shared" si="42"/>
        <v>218.35000000000002</v>
      </c>
      <c r="M560" s="3024"/>
    </row>
    <row r="561" spans="1:13">
      <c r="A561" s="3024"/>
      <c r="B561" s="3024"/>
      <c r="C561" s="3024">
        <v>108</v>
      </c>
      <c r="D561" s="3024">
        <v>134.21</v>
      </c>
      <c r="E561" s="3024">
        <v>84.6</v>
      </c>
      <c r="F561" s="3024"/>
      <c r="G561" s="3024">
        <f t="shared" si="43"/>
        <v>218.81</v>
      </c>
      <c r="H561" s="3024"/>
      <c r="I561" s="3024"/>
      <c r="J561" s="3024">
        <v>108.55</v>
      </c>
      <c r="K561" s="3024">
        <f t="shared" si="23"/>
        <v>110.26</v>
      </c>
      <c r="L561" s="3024">
        <f t="shared" si="42"/>
        <v>218.81</v>
      </c>
      <c r="M561" s="3024"/>
    </row>
    <row r="562" spans="1:13">
      <c r="A562" s="3024" t="s">
        <v>3128</v>
      </c>
      <c r="B562" s="3024">
        <v>8</v>
      </c>
      <c r="C562" s="3024">
        <v>-201</v>
      </c>
      <c r="D562" s="3024"/>
      <c r="E562" s="3024">
        <v>83.36</v>
      </c>
      <c r="F562" s="3024"/>
      <c r="G562" s="3024">
        <f t="shared" si="43"/>
        <v>83.36</v>
      </c>
      <c r="H562" s="3024">
        <f>SUM(G562:G577)</f>
        <v>2418.62</v>
      </c>
      <c r="I562" s="3024"/>
      <c r="J562" s="3024"/>
      <c r="K562" s="3024">
        <f t="shared" si="23"/>
        <v>83.36</v>
      </c>
      <c r="L562" s="3024">
        <f t="shared" si="42"/>
        <v>83.36</v>
      </c>
      <c r="M562" s="3024"/>
    </row>
    <row r="563" spans="1:13">
      <c r="A563" s="3024"/>
      <c r="B563" s="3024"/>
      <c r="C563" s="3024">
        <v>-202</v>
      </c>
      <c r="D563" s="3024"/>
      <c r="E563" s="3024">
        <v>84.08</v>
      </c>
      <c r="F563" s="3024"/>
      <c r="G563" s="3024">
        <f t="shared" si="43"/>
        <v>84.08</v>
      </c>
      <c r="H563" s="3024"/>
      <c r="I563" s="3024"/>
      <c r="J563" s="3024"/>
      <c r="K563" s="3024">
        <f t="shared" si="23"/>
        <v>84.08</v>
      </c>
      <c r="L563" s="3024">
        <f t="shared" si="42"/>
        <v>84.08</v>
      </c>
      <c r="M563" s="3024"/>
    </row>
    <row r="564" spans="1:13">
      <c r="A564" s="3024"/>
      <c r="B564" s="3024"/>
      <c r="C564" s="3024">
        <v>-203</v>
      </c>
      <c r="D564" s="3024"/>
      <c r="E564" s="3024">
        <v>84.08</v>
      </c>
      <c r="F564" s="3024"/>
      <c r="G564" s="3024">
        <f t="shared" si="43"/>
        <v>84.08</v>
      </c>
      <c r="H564" s="3024"/>
      <c r="I564" s="3024"/>
      <c r="J564" s="3024"/>
      <c r="K564" s="3024">
        <f t="shared" si="23"/>
        <v>84.08</v>
      </c>
      <c r="L564" s="3024">
        <f t="shared" si="42"/>
        <v>84.08</v>
      </c>
      <c r="M564" s="3024"/>
    </row>
    <row r="565" spans="1:13">
      <c r="A565" s="3024"/>
      <c r="B565" s="3024"/>
      <c r="C565" s="3024">
        <v>-204</v>
      </c>
      <c r="D565" s="3024"/>
      <c r="E565" s="3024">
        <v>84.08</v>
      </c>
      <c r="F565" s="3024"/>
      <c r="G565" s="3024">
        <f t="shared" si="43"/>
        <v>84.08</v>
      </c>
      <c r="H565" s="3024"/>
      <c r="I565" s="3024"/>
      <c r="J565" s="3024"/>
      <c r="K565" s="3024">
        <f t="shared" si="23"/>
        <v>84.08</v>
      </c>
      <c r="L565" s="3024">
        <f t="shared" si="42"/>
        <v>84.08</v>
      </c>
      <c r="M565" s="3024"/>
    </row>
    <row r="566" spans="1:13">
      <c r="A566" s="3024"/>
      <c r="B566" s="3024"/>
      <c r="C566" s="3024">
        <v>-205</v>
      </c>
      <c r="D566" s="3024"/>
      <c r="E566" s="3024">
        <v>83.36</v>
      </c>
      <c r="F566" s="3024"/>
      <c r="G566" s="3024">
        <f t="shared" si="43"/>
        <v>83.36</v>
      </c>
      <c r="H566" s="3024"/>
      <c r="I566" s="3024"/>
      <c r="J566" s="3024"/>
      <c r="K566" s="3024">
        <f t="shared" si="23"/>
        <v>83.36</v>
      </c>
      <c r="L566" s="3024">
        <f t="shared" si="42"/>
        <v>83.36</v>
      </c>
      <c r="M566" s="3024"/>
    </row>
    <row r="567" spans="1:13">
      <c r="A567" s="3024"/>
      <c r="B567" s="3024"/>
      <c r="C567" s="3024">
        <v>-206</v>
      </c>
      <c r="D567" s="3024"/>
      <c r="E567" s="3024">
        <v>84.08</v>
      </c>
      <c r="F567" s="3024"/>
      <c r="G567" s="3024">
        <f t="shared" si="43"/>
        <v>84.08</v>
      </c>
      <c r="H567" s="3024"/>
      <c r="I567" s="3024"/>
      <c r="J567" s="3024"/>
      <c r="K567" s="3024">
        <f t="shared" si="23"/>
        <v>84.08</v>
      </c>
      <c r="L567" s="3024">
        <f t="shared" si="42"/>
        <v>84.08</v>
      </c>
      <c r="M567" s="3024"/>
    </row>
    <row r="568" spans="1:13">
      <c r="A568" s="3024"/>
      <c r="B568" s="3024"/>
      <c r="C568" s="3024">
        <v>-207</v>
      </c>
      <c r="D568" s="3024"/>
      <c r="E568" s="3024">
        <v>84.08</v>
      </c>
      <c r="F568" s="3024"/>
      <c r="G568" s="3024">
        <f t="shared" si="43"/>
        <v>84.08</v>
      </c>
      <c r="H568" s="3024"/>
      <c r="I568" s="3024"/>
      <c r="J568" s="3024"/>
      <c r="K568" s="3024">
        <f t="shared" si="23"/>
        <v>84.08</v>
      </c>
      <c r="L568" s="3024">
        <f t="shared" si="42"/>
        <v>84.08</v>
      </c>
      <c r="M568" s="3024"/>
    </row>
    <row r="569" spans="1:13">
      <c r="A569" s="3024"/>
      <c r="B569" s="3024"/>
      <c r="C569" s="3024">
        <v>-208</v>
      </c>
      <c r="D569" s="3024"/>
      <c r="E569" s="3024">
        <v>84.08</v>
      </c>
      <c r="F569" s="3024"/>
      <c r="G569" s="3024">
        <f t="shared" si="43"/>
        <v>84.08</v>
      </c>
      <c r="H569" s="3024"/>
      <c r="I569" s="3024"/>
      <c r="J569" s="3024"/>
      <c r="K569" s="3024">
        <f t="shared" si="23"/>
        <v>84.08</v>
      </c>
      <c r="L569" s="3024">
        <f t="shared" si="42"/>
        <v>84.08</v>
      </c>
      <c r="M569" s="3024"/>
    </row>
    <row r="570" spans="1:13">
      <c r="A570" s="3024"/>
      <c r="B570" s="3024"/>
      <c r="C570" s="3024">
        <v>101</v>
      </c>
      <c r="D570" s="3024">
        <v>134.02000000000001</v>
      </c>
      <c r="E570" s="3024">
        <v>84.18</v>
      </c>
      <c r="F570" s="3024"/>
      <c r="G570" s="3024">
        <f t="shared" si="43"/>
        <v>218.20000000000002</v>
      </c>
      <c r="H570" s="3024"/>
      <c r="I570" s="3024"/>
      <c r="J570" s="3024">
        <f>J554</f>
        <v>108.56</v>
      </c>
      <c r="K570" s="3024">
        <f t="shared" si="23"/>
        <v>109.64000000000001</v>
      </c>
      <c r="L570" s="3024">
        <f t="shared" si="42"/>
        <v>218.20000000000002</v>
      </c>
      <c r="M570" s="3024">
        <f>SUM(J570:J577)</f>
        <v>868.4699999999998</v>
      </c>
    </row>
    <row r="571" spans="1:13">
      <c r="A571" s="3024"/>
      <c r="B571" s="3024"/>
      <c r="C571" s="3024">
        <v>102</v>
      </c>
      <c r="D571" s="3024">
        <v>134.02000000000001</v>
      </c>
      <c r="E571" s="3024">
        <v>84.33</v>
      </c>
      <c r="F571" s="3024"/>
      <c r="G571" s="3024">
        <f t="shared" si="43"/>
        <v>218.35000000000002</v>
      </c>
      <c r="H571" s="3024"/>
      <c r="I571" s="3024"/>
      <c r="J571" s="3024">
        <f>J570</f>
        <v>108.56</v>
      </c>
      <c r="K571" s="3024">
        <f t="shared" si="23"/>
        <v>109.79000000000002</v>
      </c>
      <c r="L571" s="3024">
        <f t="shared" si="42"/>
        <v>218.35000000000002</v>
      </c>
      <c r="M571" s="3024"/>
    </row>
    <row r="572" spans="1:13">
      <c r="A572" s="3024"/>
      <c r="B572" s="3024"/>
      <c r="C572" s="3024">
        <v>103</v>
      </c>
      <c r="D572" s="3024">
        <v>134.02000000000001</v>
      </c>
      <c r="E572" s="3024">
        <v>84.33</v>
      </c>
      <c r="F572" s="3024"/>
      <c r="G572" s="3024">
        <f t="shared" si="43"/>
        <v>218.35000000000002</v>
      </c>
      <c r="H572" s="3024"/>
      <c r="I572" s="3024"/>
      <c r="J572" s="3024">
        <f>J570</f>
        <v>108.56</v>
      </c>
      <c r="K572" s="3024">
        <f t="shared" si="23"/>
        <v>109.79000000000002</v>
      </c>
      <c r="L572" s="3024">
        <f t="shared" si="42"/>
        <v>218.35000000000002</v>
      </c>
      <c r="M572" s="3024"/>
    </row>
    <row r="573" spans="1:13">
      <c r="A573" s="3024"/>
      <c r="B573" s="3024"/>
      <c r="C573" s="3024">
        <v>104</v>
      </c>
      <c r="D573" s="3024">
        <v>134.21</v>
      </c>
      <c r="E573" s="3024">
        <v>84.6</v>
      </c>
      <c r="F573" s="3024"/>
      <c r="G573" s="3024">
        <f t="shared" si="43"/>
        <v>218.81</v>
      </c>
      <c r="H573" s="3024"/>
      <c r="I573" s="3024"/>
      <c r="J573" s="3024">
        <f>J570</f>
        <v>108.56</v>
      </c>
      <c r="K573" s="3024">
        <f t="shared" si="23"/>
        <v>110.25</v>
      </c>
      <c r="L573" s="3024">
        <f t="shared" si="42"/>
        <v>218.81</v>
      </c>
      <c r="M573" s="3024"/>
    </row>
    <row r="574" spans="1:13">
      <c r="A574" s="3024"/>
      <c r="B574" s="3024"/>
      <c r="C574" s="3024">
        <v>105</v>
      </c>
      <c r="D574" s="3024">
        <v>134.02000000000001</v>
      </c>
      <c r="E574" s="3024">
        <v>84.18</v>
      </c>
      <c r="F574" s="3024"/>
      <c r="G574" s="3024">
        <f t="shared" si="43"/>
        <v>218.20000000000002</v>
      </c>
      <c r="H574" s="3024"/>
      <c r="I574" s="3024"/>
      <c r="J574" s="3024">
        <f>J570</f>
        <v>108.56</v>
      </c>
      <c r="K574" s="3024">
        <f t="shared" si="23"/>
        <v>109.64000000000001</v>
      </c>
      <c r="L574" s="3024">
        <f t="shared" si="42"/>
        <v>218.20000000000002</v>
      </c>
      <c r="M574" s="3024"/>
    </row>
    <row r="575" spans="1:13">
      <c r="A575" s="3024"/>
      <c r="B575" s="3024"/>
      <c r="C575" s="3024">
        <v>106</v>
      </c>
      <c r="D575" s="3024">
        <v>134.02000000000001</v>
      </c>
      <c r="E575" s="3024">
        <v>84.33</v>
      </c>
      <c r="F575" s="3024"/>
      <c r="G575" s="3024">
        <f t="shared" si="43"/>
        <v>218.35000000000002</v>
      </c>
      <c r="H575" s="3024"/>
      <c r="I575" s="3024"/>
      <c r="J575" s="3024">
        <f>J570</f>
        <v>108.56</v>
      </c>
      <c r="K575" s="3024">
        <f t="shared" si="23"/>
        <v>109.79000000000002</v>
      </c>
      <c r="L575" s="3024">
        <f t="shared" si="42"/>
        <v>218.35000000000002</v>
      </c>
      <c r="M575" s="3024"/>
    </row>
    <row r="576" spans="1:13">
      <c r="A576" s="3024"/>
      <c r="B576" s="3024"/>
      <c r="C576" s="3024">
        <v>107</v>
      </c>
      <c r="D576" s="3024">
        <v>134.02000000000001</v>
      </c>
      <c r="E576" s="3024">
        <v>84.33</v>
      </c>
      <c r="F576" s="3024"/>
      <c r="G576" s="3024">
        <f t="shared" si="43"/>
        <v>218.35000000000002</v>
      </c>
      <c r="H576" s="3024"/>
      <c r="I576" s="3024"/>
      <c r="J576" s="3024">
        <f>J570</f>
        <v>108.56</v>
      </c>
      <c r="K576" s="3024">
        <f t="shared" si="23"/>
        <v>109.79000000000002</v>
      </c>
      <c r="L576" s="3024">
        <f t="shared" si="42"/>
        <v>218.35000000000002</v>
      </c>
      <c r="M576" s="3024"/>
    </row>
    <row r="577" spans="1:13">
      <c r="A577" s="3024"/>
      <c r="B577" s="3024"/>
      <c r="C577" s="3024">
        <v>108</v>
      </c>
      <c r="D577" s="3024">
        <v>134.21</v>
      </c>
      <c r="E577" s="3024">
        <v>84.6</v>
      </c>
      <c r="F577" s="3024"/>
      <c r="G577" s="3024">
        <f t="shared" si="43"/>
        <v>218.81</v>
      </c>
      <c r="H577" s="3024"/>
      <c r="I577" s="3024"/>
      <c r="J577" s="3024">
        <f>J561</f>
        <v>108.55</v>
      </c>
      <c r="K577" s="3024">
        <f t="shared" si="23"/>
        <v>110.26</v>
      </c>
      <c r="L577" s="3024">
        <f t="shared" si="42"/>
        <v>218.81</v>
      </c>
      <c r="M577" s="3024"/>
    </row>
    <row r="578" spans="1:13">
      <c r="A578" s="3024" t="s">
        <v>3129</v>
      </c>
      <c r="B578" s="3024">
        <v>6</v>
      </c>
      <c r="C578" s="3024">
        <v>-201</v>
      </c>
      <c r="D578" s="3024"/>
      <c r="E578" s="3024">
        <v>83.46</v>
      </c>
      <c r="F578" s="3024"/>
      <c r="G578" s="3024">
        <f t="shared" si="43"/>
        <v>83.46</v>
      </c>
      <c r="H578" s="3024">
        <f>SUM(G578:G589)</f>
        <v>1817.5199999999998</v>
      </c>
      <c r="I578" s="3024"/>
      <c r="J578" s="3024"/>
      <c r="K578" s="3024">
        <f t="shared" si="23"/>
        <v>83.46</v>
      </c>
      <c r="L578" s="3024">
        <f t="shared" si="42"/>
        <v>83.46</v>
      </c>
      <c r="M578" s="3024"/>
    </row>
    <row r="579" spans="1:13">
      <c r="A579" s="3024"/>
      <c r="B579" s="3024"/>
      <c r="C579" s="3024">
        <v>-202</v>
      </c>
      <c r="D579" s="3024"/>
      <c r="E579" s="3024">
        <v>84.18</v>
      </c>
      <c r="F579" s="3024"/>
      <c r="G579" s="3024">
        <f t="shared" si="43"/>
        <v>84.18</v>
      </c>
      <c r="H579" s="3024"/>
      <c r="I579" s="3024"/>
      <c r="J579" s="3024"/>
      <c r="K579" s="3024">
        <f t="shared" si="23"/>
        <v>84.18</v>
      </c>
      <c r="L579" s="3024">
        <f t="shared" si="42"/>
        <v>84.18</v>
      </c>
      <c r="M579" s="3024"/>
    </row>
    <row r="580" spans="1:13">
      <c r="A580" s="3024"/>
      <c r="B580" s="3024"/>
      <c r="C580" s="3024">
        <v>-203</v>
      </c>
      <c r="D580" s="3024"/>
      <c r="E580" s="3024">
        <v>84.18</v>
      </c>
      <c r="F580" s="3024"/>
      <c r="G580" s="3024">
        <f t="shared" si="43"/>
        <v>84.18</v>
      </c>
      <c r="H580" s="3024"/>
      <c r="I580" s="3024"/>
      <c r="J580" s="3024"/>
      <c r="K580" s="3024">
        <f t="shared" si="23"/>
        <v>84.18</v>
      </c>
      <c r="L580" s="3024">
        <f t="shared" si="42"/>
        <v>84.18</v>
      </c>
      <c r="M580" s="3024"/>
    </row>
    <row r="581" spans="1:13">
      <c r="A581" s="3024"/>
      <c r="B581" s="3024"/>
      <c r="C581" s="3024">
        <v>-204</v>
      </c>
      <c r="D581" s="3024"/>
      <c r="E581" s="3024">
        <v>83.46</v>
      </c>
      <c r="F581" s="3024"/>
      <c r="G581" s="3024">
        <f t="shared" si="43"/>
        <v>83.46</v>
      </c>
      <c r="H581" s="3024"/>
      <c r="I581" s="3024"/>
      <c r="J581" s="3024"/>
      <c r="K581" s="3024">
        <f t="shared" si="23"/>
        <v>83.46</v>
      </c>
      <c r="L581" s="3024">
        <f t="shared" si="42"/>
        <v>83.46</v>
      </c>
      <c r="M581" s="3024"/>
    </row>
    <row r="582" spans="1:13">
      <c r="A582" s="3024"/>
      <c r="B582" s="3024"/>
      <c r="C582" s="3024">
        <v>-205</v>
      </c>
      <c r="D582" s="3024"/>
      <c r="E582" s="3024">
        <v>84.18</v>
      </c>
      <c r="F582" s="3024"/>
      <c r="G582" s="3024">
        <f t="shared" si="43"/>
        <v>84.18</v>
      </c>
      <c r="H582" s="3024"/>
      <c r="I582" s="3024"/>
      <c r="J582" s="3024"/>
      <c r="K582" s="3024">
        <f t="shared" si="23"/>
        <v>84.18</v>
      </c>
      <c r="L582" s="3024">
        <f t="shared" si="42"/>
        <v>84.18</v>
      </c>
      <c r="M582" s="3024"/>
    </row>
    <row r="583" spans="1:13">
      <c r="A583" s="3024"/>
      <c r="B583" s="3024"/>
      <c r="C583" s="3024">
        <v>-206</v>
      </c>
      <c r="D583" s="3024"/>
      <c r="E583" s="3024">
        <v>84.18</v>
      </c>
      <c r="F583" s="3024"/>
      <c r="G583" s="3024">
        <f t="shared" si="43"/>
        <v>84.18</v>
      </c>
      <c r="H583" s="3024"/>
      <c r="I583" s="3024"/>
      <c r="J583" s="3024"/>
      <c r="K583" s="3024">
        <f t="shared" si="23"/>
        <v>84.18</v>
      </c>
      <c r="L583" s="3024">
        <f t="shared" si="42"/>
        <v>84.18</v>
      </c>
      <c r="M583" s="3024"/>
    </row>
    <row r="584" spans="1:13">
      <c r="A584" s="3024"/>
      <c r="B584" s="3024"/>
      <c r="C584" s="3024">
        <v>101</v>
      </c>
      <c r="D584" s="3024">
        <v>134.34</v>
      </c>
      <c r="E584" s="3024">
        <v>84.39</v>
      </c>
      <c r="F584" s="3024"/>
      <c r="G584" s="3024">
        <f t="shared" si="43"/>
        <v>218.73000000000002</v>
      </c>
      <c r="H584" s="3024"/>
      <c r="I584" s="3024"/>
      <c r="J584" s="3024">
        <f>J500</f>
        <v>108.67</v>
      </c>
      <c r="K584" s="3024">
        <f t="shared" si="23"/>
        <v>110.06000000000002</v>
      </c>
      <c r="L584" s="3024">
        <f t="shared" si="42"/>
        <v>218.73000000000002</v>
      </c>
      <c r="M584" s="3024">
        <f>SUM(J584:J589)</f>
        <v>652.01</v>
      </c>
    </row>
    <row r="585" spans="1:13">
      <c r="A585" s="3024"/>
      <c r="B585" s="3024"/>
      <c r="C585" s="3024">
        <v>102</v>
      </c>
      <c r="D585" s="3024">
        <v>134.34</v>
      </c>
      <c r="E585" s="3024">
        <v>84.53</v>
      </c>
      <c r="F585" s="3024"/>
      <c r="G585" s="3024">
        <f t="shared" si="43"/>
        <v>218.87</v>
      </c>
      <c r="H585" s="3024"/>
      <c r="I585" s="3024"/>
      <c r="J585" s="3024">
        <f>J584</f>
        <v>108.67</v>
      </c>
      <c r="K585" s="3024">
        <f t="shared" si="23"/>
        <v>110.2</v>
      </c>
      <c r="L585" s="3024">
        <f t="shared" si="42"/>
        <v>218.87</v>
      </c>
      <c r="M585" s="3024"/>
    </row>
    <row r="586" spans="1:13">
      <c r="A586" s="3024"/>
      <c r="B586" s="3024"/>
      <c r="C586" s="3024">
        <v>103</v>
      </c>
      <c r="D586" s="3024">
        <v>134.54</v>
      </c>
      <c r="E586" s="3024">
        <v>84.8</v>
      </c>
      <c r="F586" s="3024"/>
      <c r="G586" s="3024">
        <f t="shared" si="43"/>
        <v>219.33999999999997</v>
      </c>
      <c r="H586" s="3024"/>
      <c r="I586" s="3024"/>
      <c r="J586" s="3024">
        <f>J584</f>
        <v>108.67</v>
      </c>
      <c r="K586" s="3024">
        <f t="shared" si="23"/>
        <v>110.66999999999997</v>
      </c>
      <c r="L586" s="3024">
        <f t="shared" si="42"/>
        <v>219.33999999999997</v>
      </c>
      <c r="M586" s="3024"/>
    </row>
    <row r="587" spans="1:13">
      <c r="A587" s="3024"/>
      <c r="B587" s="3024"/>
      <c r="C587" s="3024">
        <v>104</v>
      </c>
      <c r="D587" s="3024">
        <v>134.34</v>
      </c>
      <c r="E587" s="3024">
        <v>84.39</v>
      </c>
      <c r="F587" s="3024"/>
      <c r="G587" s="3024">
        <f t="shared" si="43"/>
        <v>218.73000000000002</v>
      </c>
      <c r="H587" s="3024"/>
      <c r="I587" s="3024"/>
      <c r="J587" s="3024">
        <f>J584</f>
        <v>108.67</v>
      </c>
      <c r="K587" s="3024">
        <f t="shared" si="23"/>
        <v>110.06000000000002</v>
      </c>
      <c r="L587" s="3024">
        <f t="shared" si="42"/>
        <v>218.73000000000002</v>
      </c>
      <c r="M587" s="3024"/>
    </row>
    <row r="588" spans="1:13">
      <c r="A588" s="3024"/>
      <c r="B588" s="3024"/>
      <c r="C588" s="3024">
        <v>105</v>
      </c>
      <c r="D588" s="3024">
        <v>134.34</v>
      </c>
      <c r="E588" s="3024">
        <v>84.53</v>
      </c>
      <c r="F588" s="3024"/>
      <c r="G588" s="3024">
        <f t="shared" si="43"/>
        <v>218.87</v>
      </c>
      <c r="H588" s="3024"/>
      <c r="I588" s="3024"/>
      <c r="J588" s="3024">
        <f>J584</f>
        <v>108.67</v>
      </c>
      <c r="K588" s="3024">
        <f t="shared" si="23"/>
        <v>110.2</v>
      </c>
      <c r="L588" s="3024">
        <f t="shared" si="42"/>
        <v>218.87</v>
      </c>
      <c r="M588" s="3024"/>
    </row>
    <row r="589" spans="1:13">
      <c r="A589" s="3024"/>
      <c r="B589" s="3024"/>
      <c r="C589" s="3024">
        <v>106</v>
      </c>
      <c r="D589" s="3024">
        <v>134.54</v>
      </c>
      <c r="E589" s="3024">
        <v>84.8</v>
      </c>
      <c r="F589" s="3024"/>
      <c r="G589" s="3024">
        <f t="shared" si="43"/>
        <v>219.33999999999997</v>
      </c>
      <c r="H589" s="3024"/>
      <c r="I589" s="3024"/>
      <c r="J589" s="3024">
        <v>108.66</v>
      </c>
      <c r="K589" s="3024">
        <f t="shared" si="23"/>
        <v>110.67999999999998</v>
      </c>
      <c r="L589" s="3024">
        <f t="shared" si="42"/>
        <v>219.33999999999997</v>
      </c>
      <c r="M589" s="3024"/>
    </row>
    <row r="590" spans="1:13">
      <c r="A590" s="3024" t="s">
        <v>3130</v>
      </c>
      <c r="B590" s="3024">
        <v>6</v>
      </c>
      <c r="C590" s="3024">
        <v>-201</v>
      </c>
      <c r="D590" s="3024"/>
      <c r="E590" s="3024">
        <v>83.45</v>
      </c>
      <c r="F590" s="3024"/>
      <c r="G590" s="3024">
        <f t="shared" si="43"/>
        <v>83.45</v>
      </c>
      <c r="H590" s="3024">
        <f>SUM(G590:G601)</f>
        <v>1817.1</v>
      </c>
      <c r="I590" s="3024"/>
      <c r="J590" s="3024"/>
      <c r="K590" s="3024">
        <f t="shared" si="23"/>
        <v>83.45</v>
      </c>
      <c r="L590" s="3024">
        <f t="shared" si="42"/>
        <v>83.45</v>
      </c>
      <c r="M590" s="3024"/>
    </row>
    <row r="591" spans="1:13">
      <c r="A591" s="3024"/>
      <c r="B591" s="3024"/>
      <c r="C591" s="3024">
        <v>-202</v>
      </c>
      <c r="D591" s="3024"/>
      <c r="E591" s="3024">
        <v>84.18</v>
      </c>
      <c r="F591" s="3024"/>
      <c r="G591" s="3024">
        <f t="shared" si="43"/>
        <v>84.18</v>
      </c>
      <c r="H591" s="3024"/>
      <c r="I591" s="3024"/>
      <c r="J591" s="3024"/>
      <c r="K591" s="3024">
        <f t="shared" si="23"/>
        <v>84.18</v>
      </c>
      <c r="L591" s="3024">
        <f t="shared" si="42"/>
        <v>84.18</v>
      </c>
      <c r="M591" s="3024"/>
    </row>
    <row r="592" spans="1:13">
      <c r="A592" s="3024"/>
      <c r="B592" s="3024"/>
      <c r="C592" s="3024">
        <v>-203</v>
      </c>
      <c r="D592" s="3024"/>
      <c r="E592" s="3024">
        <v>84.18</v>
      </c>
      <c r="F592" s="3024"/>
      <c r="G592" s="3024">
        <f t="shared" si="43"/>
        <v>84.18</v>
      </c>
      <c r="H592" s="3024"/>
      <c r="I592" s="3024"/>
      <c r="J592" s="3024"/>
      <c r="K592" s="3024">
        <f t="shared" si="23"/>
        <v>84.18</v>
      </c>
      <c r="L592" s="3024">
        <f t="shared" si="42"/>
        <v>84.18</v>
      </c>
      <c r="M592" s="3024"/>
    </row>
    <row r="593" spans="1:13">
      <c r="A593" s="3024"/>
      <c r="B593" s="3024"/>
      <c r="C593" s="3024">
        <v>-204</v>
      </c>
      <c r="D593" s="3024"/>
      <c r="E593" s="3024">
        <v>83.45</v>
      </c>
      <c r="F593" s="3024"/>
      <c r="G593" s="3024">
        <f t="shared" si="43"/>
        <v>83.45</v>
      </c>
      <c r="H593" s="3024"/>
      <c r="I593" s="3024"/>
      <c r="J593" s="3024"/>
      <c r="K593" s="3024">
        <f t="shared" si="23"/>
        <v>83.45</v>
      </c>
      <c r="L593" s="3024">
        <f t="shared" si="42"/>
        <v>83.45</v>
      </c>
      <c r="M593" s="3024"/>
    </row>
    <row r="594" spans="1:13">
      <c r="A594" s="3024"/>
      <c r="B594" s="3024"/>
      <c r="C594" s="3024">
        <v>-205</v>
      </c>
      <c r="D594" s="3024"/>
      <c r="E594" s="3024">
        <v>84.18</v>
      </c>
      <c r="F594" s="3024"/>
      <c r="G594" s="3024">
        <f t="shared" si="43"/>
        <v>84.18</v>
      </c>
      <c r="H594" s="3024"/>
      <c r="I594" s="3024"/>
      <c r="J594" s="3024"/>
      <c r="K594" s="3024">
        <f t="shared" si="23"/>
        <v>84.18</v>
      </c>
      <c r="L594" s="3024">
        <f t="shared" si="42"/>
        <v>84.18</v>
      </c>
      <c r="M594" s="3024"/>
    </row>
    <row r="595" spans="1:13">
      <c r="A595" s="3024"/>
      <c r="B595" s="3024"/>
      <c r="C595" s="3024">
        <v>-206</v>
      </c>
      <c r="D595" s="3024"/>
      <c r="E595" s="3024">
        <v>84.18</v>
      </c>
      <c r="F595" s="3024"/>
      <c r="G595" s="3024">
        <f t="shared" si="43"/>
        <v>84.18</v>
      </c>
      <c r="H595" s="3024"/>
      <c r="I595" s="3024"/>
      <c r="J595" s="3024"/>
      <c r="K595" s="3024">
        <f t="shared" si="23"/>
        <v>84.18</v>
      </c>
      <c r="L595" s="3024">
        <f t="shared" si="42"/>
        <v>84.18</v>
      </c>
      <c r="M595" s="3024"/>
    </row>
    <row r="596" spans="1:13">
      <c r="A596" s="3024"/>
      <c r="B596" s="3024"/>
      <c r="C596" s="3024">
        <v>101</v>
      </c>
      <c r="D596" s="3024">
        <v>134.30000000000001</v>
      </c>
      <c r="E596" s="3024">
        <v>84.37</v>
      </c>
      <c r="F596" s="3024"/>
      <c r="G596" s="3024">
        <f t="shared" si="43"/>
        <v>218.67000000000002</v>
      </c>
      <c r="H596" s="3024"/>
      <c r="I596" s="3024"/>
      <c r="J596" s="3024">
        <f>J584</f>
        <v>108.67</v>
      </c>
      <c r="K596" s="3024">
        <f t="shared" si="23"/>
        <v>110.00000000000001</v>
      </c>
      <c r="L596" s="3024">
        <f t="shared" si="42"/>
        <v>218.67000000000002</v>
      </c>
      <c r="M596" s="3024">
        <f>J596+J597+J598+J599+J600+J601</f>
        <v>652.01</v>
      </c>
    </row>
    <row r="597" spans="1:13">
      <c r="A597" s="3024"/>
      <c r="B597" s="3024"/>
      <c r="C597" s="3024">
        <v>102</v>
      </c>
      <c r="D597" s="3024">
        <v>134.29</v>
      </c>
      <c r="E597" s="3024">
        <v>84.51</v>
      </c>
      <c r="F597" s="3024"/>
      <c r="G597" s="3024">
        <f t="shared" si="43"/>
        <v>218.8</v>
      </c>
      <c r="H597" s="3024"/>
      <c r="I597" s="3024"/>
      <c r="J597" s="3024">
        <f>J596</f>
        <v>108.67</v>
      </c>
      <c r="K597" s="3024">
        <f t="shared" si="23"/>
        <v>110.13000000000001</v>
      </c>
      <c r="L597" s="3024">
        <f t="shared" si="42"/>
        <v>218.8</v>
      </c>
      <c r="M597" s="3024"/>
    </row>
    <row r="598" spans="1:13">
      <c r="A598" s="3024"/>
      <c r="B598" s="3024"/>
      <c r="C598" s="3024">
        <v>103</v>
      </c>
      <c r="D598" s="3024">
        <v>134.49</v>
      </c>
      <c r="E598" s="3024">
        <v>84.78</v>
      </c>
      <c r="F598" s="3024"/>
      <c r="G598" s="3024">
        <f t="shared" si="43"/>
        <v>219.27</v>
      </c>
      <c r="H598" s="3024"/>
      <c r="I598" s="3024"/>
      <c r="J598" s="3024">
        <f>J596</f>
        <v>108.67</v>
      </c>
      <c r="K598" s="3024">
        <f t="shared" si="23"/>
        <v>110.60000000000001</v>
      </c>
      <c r="L598" s="3024">
        <f t="shared" si="42"/>
        <v>219.27</v>
      </c>
      <c r="M598" s="3024"/>
    </row>
    <row r="599" spans="1:13">
      <c r="A599" s="3024"/>
      <c r="B599" s="3024"/>
      <c r="C599" s="3024">
        <v>104</v>
      </c>
      <c r="D599" s="3024">
        <v>134.30000000000001</v>
      </c>
      <c r="E599" s="3024">
        <v>84.37</v>
      </c>
      <c r="F599" s="3024"/>
      <c r="G599" s="3024">
        <f t="shared" si="43"/>
        <v>218.67000000000002</v>
      </c>
      <c r="H599" s="3024"/>
      <c r="I599" s="3024"/>
      <c r="J599" s="3024">
        <f>J596</f>
        <v>108.67</v>
      </c>
      <c r="K599" s="3024">
        <f t="shared" si="23"/>
        <v>110.00000000000001</v>
      </c>
      <c r="L599" s="3024">
        <f t="shared" si="42"/>
        <v>218.67000000000002</v>
      </c>
      <c r="M599" s="3024"/>
    </row>
    <row r="600" spans="1:13">
      <c r="A600" s="3024"/>
      <c r="B600" s="3024"/>
      <c r="C600" s="3024">
        <v>105</v>
      </c>
      <c r="D600" s="3024">
        <v>134.29</v>
      </c>
      <c r="E600" s="3024">
        <v>84.51</v>
      </c>
      <c r="F600" s="3024"/>
      <c r="G600" s="3024">
        <f t="shared" si="43"/>
        <v>218.8</v>
      </c>
      <c r="H600" s="3024"/>
      <c r="I600" s="3024"/>
      <c r="J600" s="3024">
        <f>J596</f>
        <v>108.67</v>
      </c>
      <c r="K600" s="3024">
        <f t="shared" si="23"/>
        <v>110.13000000000001</v>
      </c>
      <c r="L600" s="3024">
        <f t="shared" si="42"/>
        <v>218.8</v>
      </c>
      <c r="M600" s="3024"/>
    </row>
    <row r="601" spans="1:13">
      <c r="A601" s="3024"/>
      <c r="B601" s="3024"/>
      <c r="C601" s="3024">
        <v>106</v>
      </c>
      <c r="D601" s="3024">
        <v>134.49</v>
      </c>
      <c r="E601" s="3024">
        <v>84.78</v>
      </c>
      <c r="F601" s="3024"/>
      <c r="G601" s="3024">
        <f t="shared" si="43"/>
        <v>219.27</v>
      </c>
      <c r="H601" s="3024"/>
      <c r="I601" s="3024"/>
      <c r="J601" s="3024">
        <f>J589</f>
        <v>108.66</v>
      </c>
      <c r="K601" s="3024">
        <f t="shared" si="23"/>
        <v>110.61000000000001</v>
      </c>
      <c r="L601" s="3024">
        <f t="shared" si="42"/>
        <v>219.27</v>
      </c>
      <c r="M601" s="3024"/>
    </row>
    <row r="602" spans="1:13">
      <c r="A602" s="3024" t="s">
        <v>3131</v>
      </c>
      <c r="B602" s="3024">
        <v>8</v>
      </c>
      <c r="C602" s="3024">
        <v>-201</v>
      </c>
      <c r="D602" s="3024"/>
      <c r="E602" s="3024">
        <v>83.38</v>
      </c>
      <c r="F602" s="3024"/>
      <c r="G602" s="3024">
        <f t="shared" si="43"/>
        <v>83.38</v>
      </c>
      <c r="H602" s="3024">
        <f>SUM(G602:G617)</f>
        <v>2419.88</v>
      </c>
      <c r="I602" s="3024"/>
      <c r="J602" s="3024"/>
      <c r="K602" s="3024">
        <f t="shared" si="23"/>
        <v>83.38</v>
      </c>
      <c r="L602" s="3024">
        <f t="shared" si="42"/>
        <v>83.38</v>
      </c>
      <c r="M602" s="3024"/>
    </row>
    <row r="603" spans="1:13">
      <c r="A603" s="3024"/>
      <c r="B603" s="3024"/>
      <c r="C603" s="3024">
        <v>-202</v>
      </c>
      <c r="D603" s="3024"/>
      <c r="E603" s="3024">
        <v>84.1</v>
      </c>
      <c r="F603" s="3024"/>
      <c r="G603" s="3024">
        <f t="shared" si="43"/>
        <v>84.1</v>
      </c>
      <c r="H603" s="3024"/>
      <c r="I603" s="3024"/>
      <c r="J603" s="3024"/>
      <c r="K603" s="3024">
        <f t="shared" si="23"/>
        <v>84.1</v>
      </c>
      <c r="L603" s="3024">
        <f t="shared" si="42"/>
        <v>84.1</v>
      </c>
      <c r="M603" s="3024"/>
    </row>
    <row r="604" spans="1:13">
      <c r="A604" s="3024"/>
      <c r="B604" s="3024"/>
      <c r="C604" s="3024">
        <v>-203</v>
      </c>
      <c r="D604" s="3024"/>
      <c r="E604" s="3024">
        <v>84.1</v>
      </c>
      <c r="F604" s="3024"/>
      <c r="G604" s="3024">
        <f t="shared" si="43"/>
        <v>84.1</v>
      </c>
      <c r="H604" s="3024"/>
      <c r="I604" s="3024"/>
      <c r="J604" s="3024"/>
      <c r="K604" s="3024">
        <f t="shared" si="23"/>
        <v>84.1</v>
      </c>
      <c r="L604" s="3024">
        <f t="shared" si="42"/>
        <v>84.1</v>
      </c>
      <c r="M604" s="3024"/>
    </row>
    <row r="605" spans="1:13">
      <c r="A605" s="3024"/>
      <c r="B605" s="3024"/>
      <c r="C605" s="3024">
        <v>-204</v>
      </c>
      <c r="D605" s="3024"/>
      <c r="E605" s="3024">
        <v>84.1</v>
      </c>
      <c r="F605" s="3024"/>
      <c r="G605" s="3024">
        <f t="shared" si="43"/>
        <v>84.1</v>
      </c>
      <c r="H605" s="3024"/>
      <c r="I605" s="3024"/>
      <c r="J605" s="3024"/>
      <c r="K605" s="3024">
        <f t="shared" si="23"/>
        <v>84.1</v>
      </c>
      <c r="L605" s="3024">
        <f t="shared" si="42"/>
        <v>84.1</v>
      </c>
      <c r="M605" s="3024"/>
    </row>
    <row r="606" spans="1:13">
      <c r="A606" s="3024"/>
      <c r="B606" s="3024"/>
      <c r="C606" s="3024">
        <v>-205</v>
      </c>
      <c r="D606" s="3024"/>
      <c r="E606" s="3024">
        <v>83.38</v>
      </c>
      <c r="F606" s="3024"/>
      <c r="G606" s="3024">
        <f t="shared" si="43"/>
        <v>83.38</v>
      </c>
      <c r="H606" s="3024"/>
      <c r="I606" s="3024"/>
      <c r="J606" s="3024"/>
      <c r="K606" s="3024">
        <f t="shared" si="23"/>
        <v>83.38</v>
      </c>
      <c r="L606" s="3024">
        <f t="shared" si="42"/>
        <v>83.38</v>
      </c>
      <c r="M606" s="3024"/>
    </row>
    <row r="607" spans="1:13">
      <c r="A607" s="3024"/>
      <c r="B607" s="3024"/>
      <c r="C607" s="3024">
        <v>-206</v>
      </c>
      <c r="D607" s="3024"/>
      <c r="E607" s="3024">
        <v>84.1</v>
      </c>
      <c r="F607" s="3024"/>
      <c r="G607" s="3024">
        <f t="shared" si="43"/>
        <v>84.1</v>
      </c>
      <c r="H607" s="3024"/>
      <c r="I607" s="3024"/>
      <c r="J607" s="3024"/>
      <c r="K607" s="3024">
        <f t="shared" si="23"/>
        <v>84.1</v>
      </c>
      <c r="L607" s="3024">
        <f t="shared" si="42"/>
        <v>84.1</v>
      </c>
      <c r="M607" s="3024"/>
    </row>
    <row r="608" spans="1:13">
      <c r="A608" s="3024"/>
      <c r="B608" s="3024"/>
      <c r="C608" s="3024">
        <v>-207</v>
      </c>
      <c r="D608" s="3024"/>
      <c r="E608" s="3024">
        <v>84.1</v>
      </c>
      <c r="F608" s="3024"/>
      <c r="G608" s="3024">
        <f t="shared" si="43"/>
        <v>84.1</v>
      </c>
      <c r="H608" s="3024"/>
      <c r="I608" s="3024"/>
      <c r="J608" s="3024"/>
      <c r="K608" s="3024">
        <f t="shared" si="23"/>
        <v>84.1</v>
      </c>
      <c r="L608" s="3024">
        <f t="shared" si="42"/>
        <v>84.1</v>
      </c>
      <c r="M608" s="3024"/>
    </row>
    <row r="609" spans="1:13">
      <c r="A609" s="3024"/>
      <c r="B609" s="3024"/>
      <c r="C609" s="3024">
        <v>-208</v>
      </c>
      <c r="D609" s="3024"/>
      <c r="E609" s="3024">
        <v>84.1</v>
      </c>
      <c r="F609" s="3024"/>
      <c r="G609" s="3024">
        <f t="shared" si="43"/>
        <v>84.1</v>
      </c>
      <c r="H609" s="3024"/>
      <c r="I609" s="3024"/>
      <c r="J609" s="3024"/>
      <c r="K609" s="3024">
        <f t="shared" si="23"/>
        <v>84.1</v>
      </c>
      <c r="L609" s="3024">
        <f t="shared" si="42"/>
        <v>84.1</v>
      </c>
      <c r="M609" s="3024"/>
    </row>
    <row r="610" spans="1:13">
      <c r="A610" s="3024"/>
      <c r="B610" s="3024"/>
      <c r="C610" s="3024">
        <v>101</v>
      </c>
      <c r="D610" s="3024">
        <v>134.11000000000001</v>
      </c>
      <c r="E610" s="3024">
        <v>84.23</v>
      </c>
      <c r="F610" s="3024"/>
      <c r="G610" s="3024">
        <f t="shared" si="43"/>
        <v>218.34000000000003</v>
      </c>
      <c r="H610" s="3024"/>
      <c r="I610" s="3024"/>
      <c r="J610" s="3024">
        <f>J570</f>
        <v>108.56</v>
      </c>
      <c r="K610" s="3024">
        <f t="shared" si="23"/>
        <v>109.78000000000003</v>
      </c>
      <c r="L610" s="3024">
        <f t="shared" si="42"/>
        <v>218.34000000000003</v>
      </c>
      <c r="M610" s="3024">
        <f>SUM(J610:J617)</f>
        <v>868.4699999999998</v>
      </c>
    </row>
    <row r="611" spans="1:13">
      <c r="A611" s="3024"/>
      <c r="B611" s="3024"/>
      <c r="C611" s="3024">
        <v>102</v>
      </c>
      <c r="D611" s="3024">
        <v>134.11000000000001</v>
      </c>
      <c r="E611" s="3024">
        <v>84.38</v>
      </c>
      <c r="F611" s="3024"/>
      <c r="G611" s="3024">
        <f t="shared" ref="G611:G674" si="44">SUM(D611:F611)</f>
        <v>218.49</v>
      </c>
      <c r="H611" s="3024"/>
      <c r="I611" s="3024"/>
      <c r="J611" s="3024">
        <f>J610</f>
        <v>108.56</v>
      </c>
      <c r="K611" s="3024">
        <f t="shared" si="23"/>
        <v>109.93</v>
      </c>
      <c r="L611" s="3024">
        <f t="shared" si="42"/>
        <v>218.49</v>
      </c>
      <c r="M611" s="3024"/>
    </row>
    <row r="612" spans="1:13">
      <c r="A612" s="3024"/>
      <c r="B612" s="3024"/>
      <c r="C612" s="3024">
        <v>103</v>
      </c>
      <c r="D612" s="3024">
        <v>134.11000000000001</v>
      </c>
      <c r="E612" s="3024">
        <v>84.38</v>
      </c>
      <c r="F612" s="3024"/>
      <c r="G612" s="3024">
        <f t="shared" si="44"/>
        <v>218.49</v>
      </c>
      <c r="H612" s="3024"/>
      <c r="I612" s="3024"/>
      <c r="J612" s="3024">
        <f>J610</f>
        <v>108.56</v>
      </c>
      <c r="K612" s="3024">
        <f t="shared" si="23"/>
        <v>109.93</v>
      </c>
      <c r="L612" s="3024">
        <f t="shared" si="42"/>
        <v>218.49</v>
      </c>
      <c r="M612" s="3024"/>
    </row>
    <row r="613" spans="1:13">
      <c r="A613" s="3024"/>
      <c r="B613" s="3024"/>
      <c r="C613" s="3024">
        <v>104</v>
      </c>
      <c r="D613" s="3024">
        <v>134.30000000000001</v>
      </c>
      <c r="E613" s="3024">
        <v>84.64</v>
      </c>
      <c r="F613" s="3024"/>
      <c r="G613" s="3024">
        <f t="shared" si="44"/>
        <v>218.94</v>
      </c>
      <c r="H613" s="3024"/>
      <c r="I613" s="3024"/>
      <c r="J613" s="3024">
        <f>J610</f>
        <v>108.56</v>
      </c>
      <c r="K613" s="3024">
        <f t="shared" si="23"/>
        <v>110.38</v>
      </c>
      <c r="L613" s="3024">
        <f t="shared" si="42"/>
        <v>218.94</v>
      </c>
      <c r="M613" s="3024"/>
    </row>
    <row r="614" spans="1:13">
      <c r="A614" s="3024"/>
      <c r="B614" s="3024"/>
      <c r="C614" s="3024">
        <v>105</v>
      </c>
      <c r="D614" s="3024">
        <v>134.11000000000001</v>
      </c>
      <c r="E614" s="3024">
        <v>84.23</v>
      </c>
      <c r="F614" s="3024"/>
      <c r="G614" s="3024">
        <f t="shared" si="44"/>
        <v>218.34000000000003</v>
      </c>
      <c r="H614" s="3024"/>
      <c r="I614" s="3024"/>
      <c r="J614" s="3024">
        <f>J610</f>
        <v>108.56</v>
      </c>
      <c r="K614" s="3024">
        <f t="shared" si="23"/>
        <v>109.78000000000003</v>
      </c>
      <c r="L614" s="3024">
        <f t="shared" si="42"/>
        <v>218.34000000000003</v>
      </c>
      <c r="M614" s="3024"/>
    </row>
    <row r="615" spans="1:13">
      <c r="A615" s="3024"/>
      <c r="B615" s="3024"/>
      <c r="C615" s="3024">
        <v>106</v>
      </c>
      <c r="D615" s="3024">
        <v>134.11000000000001</v>
      </c>
      <c r="E615" s="3024">
        <v>84.38</v>
      </c>
      <c r="F615" s="3024"/>
      <c r="G615" s="3024">
        <f t="shared" si="44"/>
        <v>218.49</v>
      </c>
      <c r="H615" s="3024"/>
      <c r="I615" s="3024"/>
      <c r="J615" s="3024">
        <f>J610</f>
        <v>108.56</v>
      </c>
      <c r="K615" s="3024">
        <f t="shared" si="23"/>
        <v>109.93</v>
      </c>
      <c r="L615" s="3024">
        <f t="shared" si="42"/>
        <v>218.49</v>
      </c>
      <c r="M615" s="3024"/>
    </row>
    <row r="616" spans="1:13">
      <c r="A616" s="3024"/>
      <c r="B616" s="3024"/>
      <c r="C616" s="3024">
        <v>107</v>
      </c>
      <c r="D616" s="3024">
        <v>134.11000000000001</v>
      </c>
      <c r="E616" s="3024">
        <v>84.38</v>
      </c>
      <c r="F616" s="3024"/>
      <c r="G616" s="3024">
        <f t="shared" si="44"/>
        <v>218.49</v>
      </c>
      <c r="H616" s="3024"/>
      <c r="I616" s="3024"/>
      <c r="J616" s="3024">
        <f>J610</f>
        <v>108.56</v>
      </c>
      <c r="K616" s="3024">
        <f t="shared" si="23"/>
        <v>109.93</v>
      </c>
      <c r="L616" s="3024">
        <f t="shared" si="42"/>
        <v>218.49</v>
      </c>
      <c r="M616" s="3024"/>
    </row>
    <row r="617" spans="1:13">
      <c r="A617" s="3024"/>
      <c r="B617" s="3024"/>
      <c r="C617" s="3024">
        <v>108</v>
      </c>
      <c r="D617" s="3024">
        <v>134.30000000000001</v>
      </c>
      <c r="E617" s="3024">
        <v>84.64</v>
      </c>
      <c r="F617" s="3024"/>
      <c r="G617" s="3024">
        <f t="shared" si="44"/>
        <v>218.94</v>
      </c>
      <c r="H617" s="3024"/>
      <c r="I617" s="3024"/>
      <c r="J617" s="3024">
        <v>108.55</v>
      </c>
      <c r="K617" s="3024">
        <f t="shared" si="23"/>
        <v>110.39</v>
      </c>
      <c r="L617" s="3024">
        <f t="shared" si="42"/>
        <v>218.94</v>
      </c>
      <c r="M617" s="3024"/>
    </row>
    <row r="618" spans="1:13">
      <c r="A618" s="3024" t="s">
        <v>3132</v>
      </c>
      <c r="B618" s="3024">
        <v>4</v>
      </c>
      <c r="C618" s="3024">
        <v>-201</v>
      </c>
      <c r="D618" s="3024"/>
      <c r="E618" s="3024">
        <v>84.35</v>
      </c>
      <c r="F618" s="3024"/>
      <c r="G618" s="3024">
        <f t="shared" si="44"/>
        <v>84.35</v>
      </c>
      <c r="H618" s="3024">
        <f>SUM(G618:G625)</f>
        <v>1240.22</v>
      </c>
      <c r="I618" s="3024"/>
      <c r="J618" s="3024"/>
      <c r="K618" s="3024">
        <f t="shared" ref="K618:K681" si="45">G618-J618</f>
        <v>84.35</v>
      </c>
      <c r="L618" s="3024">
        <f t="shared" si="42"/>
        <v>84.35</v>
      </c>
      <c r="M618" s="3024"/>
    </row>
    <row r="619" spans="1:13">
      <c r="A619" s="3024"/>
      <c r="B619" s="3024"/>
      <c r="C619" s="3024">
        <v>-202</v>
      </c>
      <c r="D619" s="3024"/>
      <c r="E619" s="3024">
        <v>85.07</v>
      </c>
      <c r="F619" s="3024"/>
      <c r="G619" s="3024">
        <f t="shared" si="44"/>
        <v>85.07</v>
      </c>
      <c r="H619" s="3024"/>
      <c r="I619" s="3024"/>
      <c r="J619" s="3024"/>
      <c r="K619" s="3024">
        <f t="shared" si="45"/>
        <v>85.07</v>
      </c>
      <c r="L619" s="3024">
        <f t="shared" si="42"/>
        <v>85.07</v>
      </c>
      <c r="M619" s="3024"/>
    </row>
    <row r="620" spans="1:13">
      <c r="A620" s="3024"/>
      <c r="B620" s="3024"/>
      <c r="C620" s="3024">
        <v>-203</v>
      </c>
      <c r="D620" s="3024"/>
      <c r="E620" s="3024">
        <v>85.07</v>
      </c>
      <c r="F620" s="3024"/>
      <c r="G620" s="3024">
        <f t="shared" si="44"/>
        <v>85.07</v>
      </c>
      <c r="H620" s="3024"/>
      <c r="I620" s="3024"/>
      <c r="J620" s="3024"/>
      <c r="K620" s="3024">
        <f t="shared" si="45"/>
        <v>85.07</v>
      </c>
      <c r="L620" s="3024">
        <f t="shared" si="42"/>
        <v>85.07</v>
      </c>
      <c r="M620" s="3024"/>
    </row>
    <row r="621" spans="1:13">
      <c r="A621" s="3024"/>
      <c r="B621" s="3024"/>
      <c r="C621" s="3024">
        <v>-204</v>
      </c>
      <c r="D621" s="3024"/>
      <c r="E621" s="3024">
        <v>85.07</v>
      </c>
      <c r="F621" s="3024"/>
      <c r="G621" s="3024">
        <f t="shared" si="44"/>
        <v>85.07</v>
      </c>
      <c r="H621" s="3024"/>
      <c r="I621" s="3024"/>
      <c r="J621" s="3024"/>
      <c r="K621" s="3024">
        <f t="shared" si="45"/>
        <v>85.07</v>
      </c>
      <c r="L621" s="3024">
        <f t="shared" si="42"/>
        <v>85.07</v>
      </c>
      <c r="M621" s="3024"/>
    </row>
    <row r="622" spans="1:13">
      <c r="A622" s="3024"/>
      <c r="B622" s="3024"/>
      <c r="C622" s="3024">
        <v>101</v>
      </c>
      <c r="D622" s="3024">
        <v>138.52000000000001</v>
      </c>
      <c r="E622" s="3024">
        <v>86.41</v>
      </c>
      <c r="F622" s="3024"/>
      <c r="G622" s="3024">
        <f t="shared" si="44"/>
        <v>224.93</v>
      </c>
      <c r="H622" s="3024"/>
      <c r="I622" s="3024"/>
      <c r="J622" s="3026">
        <f>ROUND(449.59/4,2)</f>
        <v>112.4</v>
      </c>
      <c r="K622" s="3024">
        <f t="shared" si="45"/>
        <v>112.53</v>
      </c>
      <c r="L622" s="3024">
        <f t="shared" si="42"/>
        <v>224.93</v>
      </c>
      <c r="M622" s="3027">
        <f>J622+J623+J624+J625</f>
        <v>449.59</v>
      </c>
    </row>
    <row r="623" spans="1:13">
      <c r="A623" s="3024"/>
      <c r="B623" s="3024"/>
      <c r="C623" s="3024">
        <v>102</v>
      </c>
      <c r="D623" s="3024">
        <v>138.52000000000001</v>
      </c>
      <c r="E623" s="3024">
        <v>86.56</v>
      </c>
      <c r="F623" s="3024"/>
      <c r="G623" s="3024">
        <f t="shared" si="44"/>
        <v>225.08</v>
      </c>
      <c r="H623" s="3024"/>
      <c r="I623" s="3024"/>
      <c r="J623" s="3026">
        <f>J622</f>
        <v>112.4</v>
      </c>
      <c r="K623" s="3024">
        <f t="shared" si="45"/>
        <v>112.68</v>
      </c>
      <c r="L623" s="3024">
        <f t="shared" si="42"/>
        <v>225.08</v>
      </c>
      <c r="M623" s="3024"/>
    </row>
    <row r="624" spans="1:13">
      <c r="A624" s="3024"/>
      <c r="B624" s="3024"/>
      <c r="C624" s="3024">
        <v>103</v>
      </c>
      <c r="D624" s="3024">
        <v>138.52000000000001</v>
      </c>
      <c r="E624" s="3024">
        <v>86.56</v>
      </c>
      <c r="F624" s="3024"/>
      <c r="G624" s="3024">
        <f t="shared" si="44"/>
        <v>225.08</v>
      </c>
      <c r="H624" s="3024"/>
      <c r="I624" s="3024"/>
      <c r="J624" s="3026">
        <f>J622</f>
        <v>112.4</v>
      </c>
      <c r="K624" s="3024">
        <f t="shared" si="45"/>
        <v>112.68</v>
      </c>
      <c r="L624" s="3024">
        <f t="shared" si="42"/>
        <v>225.08</v>
      </c>
      <c r="M624" s="3024"/>
    </row>
    <row r="625" spans="1:13">
      <c r="A625" s="3024"/>
      <c r="B625" s="3024"/>
      <c r="C625" s="3024">
        <v>104</v>
      </c>
      <c r="D625" s="3024">
        <v>138.71</v>
      </c>
      <c r="E625" s="3024">
        <v>86.86</v>
      </c>
      <c r="F625" s="3024"/>
      <c r="G625" s="3024">
        <f>SUM(D625:F625)</f>
        <v>225.57</v>
      </c>
      <c r="H625" s="3024"/>
      <c r="I625" s="3024"/>
      <c r="J625" s="3024">
        <f>449.59-J622-J623-J624</f>
        <v>112.38999999999993</v>
      </c>
      <c r="K625" s="3024">
        <f t="shared" si="45"/>
        <v>113.18000000000006</v>
      </c>
      <c r="L625" s="3024">
        <f t="shared" si="42"/>
        <v>225.57</v>
      </c>
      <c r="M625" s="3024"/>
    </row>
    <row r="626" spans="1:13">
      <c r="A626" s="3024" t="s">
        <v>3133</v>
      </c>
      <c r="B626" s="3024">
        <v>3</v>
      </c>
      <c r="C626" s="3024">
        <v>-201</v>
      </c>
      <c r="D626" s="3024"/>
      <c r="E626" s="3024">
        <v>84.4</v>
      </c>
      <c r="F626" s="3024"/>
      <c r="G626" s="3024">
        <f t="shared" si="44"/>
        <v>84.4</v>
      </c>
      <c r="H626" s="3024">
        <f>SUM(G626:G631)</f>
        <v>931.93999999999994</v>
      </c>
      <c r="I626" s="3024"/>
      <c r="J626" s="3024"/>
      <c r="K626" s="3024">
        <f t="shared" si="45"/>
        <v>84.4</v>
      </c>
      <c r="L626" s="3024">
        <f t="shared" si="42"/>
        <v>84.4</v>
      </c>
      <c r="M626" s="3024"/>
    </row>
    <row r="627" spans="1:13">
      <c r="A627" s="3024"/>
      <c r="B627" s="3024"/>
      <c r="C627" s="3024">
        <v>-202</v>
      </c>
      <c r="D627" s="3024"/>
      <c r="E627" s="3024">
        <v>85.12</v>
      </c>
      <c r="F627" s="3024"/>
      <c r="G627" s="3024">
        <f t="shared" si="44"/>
        <v>85.12</v>
      </c>
      <c r="H627" s="3024"/>
      <c r="I627" s="3024"/>
      <c r="J627" s="3024"/>
      <c r="K627" s="3024">
        <f t="shared" si="45"/>
        <v>85.12</v>
      </c>
      <c r="L627" s="3024">
        <f t="shared" si="42"/>
        <v>85.12</v>
      </c>
      <c r="M627" s="3024"/>
    </row>
    <row r="628" spans="1:13">
      <c r="A628" s="3024"/>
      <c r="B628" s="3024"/>
      <c r="C628" s="3024">
        <v>-203</v>
      </c>
      <c r="D628" s="3024"/>
      <c r="E628" s="3024">
        <v>85.12</v>
      </c>
      <c r="F628" s="3024"/>
      <c r="G628" s="3024">
        <f t="shared" si="44"/>
        <v>85.12</v>
      </c>
      <c r="H628" s="3024"/>
      <c r="I628" s="3024"/>
      <c r="J628" s="3024"/>
      <c r="K628" s="3024">
        <f t="shared" si="45"/>
        <v>85.12</v>
      </c>
      <c r="L628" s="3024">
        <f t="shared" si="42"/>
        <v>85.12</v>
      </c>
      <c r="M628" s="3024"/>
    </row>
    <row r="629" spans="1:13">
      <c r="A629" s="3024"/>
      <c r="B629" s="3024"/>
      <c r="C629" s="3024">
        <v>101</v>
      </c>
      <c r="D629" s="3024">
        <v>138.81</v>
      </c>
      <c r="E629" s="3024">
        <v>86.7</v>
      </c>
      <c r="F629" s="3024"/>
      <c r="G629" s="3024">
        <f t="shared" si="44"/>
        <v>225.51</v>
      </c>
      <c r="H629" s="3024"/>
      <c r="I629" s="3024"/>
      <c r="J629" s="3024">
        <f>ROUND(337.54/3,2)</f>
        <v>112.51</v>
      </c>
      <c r="K629" s="3024">
        <f t="shared" si="45"/>
        <v>112.99999999999999</v>
      </c>
      <c r="L629" s="3024">
        <f t="shared" si="42"/>
        <v>225.51</v>
      </c>
      <c r="M629" s="3024">
        <f>J629+J630+J631</f>
        <v>337.54</v>
      </c>
    </row>
    <row r="630" spans="1:13">
      <c r="A630" s="3024"/>
      <c r="B630" s="3024"/>
      <c r="C630" s="3024">
        <v>102</v>
      </c>
      <c r="D630" s="3024">
        <v>138.81</v>
      </c>
      <c r="E630" s="3024">
        <v>86.84</v>
      </c>
      <c r="F630" s="3024"/>
      <c r="G630" s="3024">
        <f t="shared" si="44"/>
        <v>225.65</v>
      </c>
      <c r="H630" s="3024"/>
      <c r="I630" s="3024"/>
      <c r="J630" s="3024">
        <f>J629</f>
        <v>112.51</v>
      </c>
      <c r="K630" s="3024">
        <f t="shared" si="45"/>
        <v>113.14</v>
      </c>
      <c r="L630" s="3024">
        <f t="shared" si="42"/>
        <v>225.65</v>
      </c>
      <c r="M630" s="3024"/>
    </row>
    <row r="631" spans="1:13">
      <c r="A631" s="3024"/>
      <c r="B631" s="3024"/>
      <c r="C631" s="3024">
        <v>103</v>
      </c>
      <c r="D631" s="3024">
        <v>139.02000000000001</v>
      </c>
      <c r="E631" s="3024">
        <v>87.12</v>
      </c>
      <c r="F631" s="3024"/>
      <c r="G631" s="3024">
        <f t="shared" si="44"/>
        <v>226.14000000000001</v>
      </c>
      <c r="H631" s="3024"/>
      <c r="I631" s="3024"/>
      <c r="J631" s="3024">
        <f>337.54-J629-J630</f>
        <v>112.52000000000002</v>
      </c>
      <c r="K631" s="3024">
        <f t="shared" si="45"/>
        <v>113.61999999999999</v>
      </c>
      <c r="L631" s="3024">
        <f t="shared" si="42"/>
        <v>226.14000000000001</v>
      </c>
      <c r="M631" s="3024"/>
    </row>
    <row r="632" spans="1:13">
      <c r="A632" s="3024" t="s">
        <v>3134</v>
      </c>
      <c r="B632" s="3024">
        <v>6</v>
      </c>
      <c r="C632" s="3024">
        <v>-201</v>
      </c>
      <c r="D632" s="3024"/>
      <c r="E632" s="3024">
        <v>83.45</v>
      </c>
      <c r="F632" s="3024"/>
      <c r="G632" s="3024">
        <f t="shared" si="44"/>
        <v>83.45</v>
      </c>
      <c r="H632" s="3024">
        <f>SUM(G632:G643)</f>
        <v>1816.8799999999999</v>
      </c>
      <c r="I632" s="3024"/>
      <c r="J632" s="3024"/>
      <c r="K632" s="3024">
        <f t="shared" si="45"/>
        <v>83.45</v>
      </c>
      <c r="L632" s="3024">
        <f t="shared" si="42"/>
        <v>83.45</v>
      </c>
      <c r="M632" s="3024"/>
    </row>
    <row r="633" spans="1:13">
      <c r="A633" s="3024"/>
      <c r="B633" s="3024"/>
      <c r="C633" s="3024">
        <v>-202</v>
      </c>
      <c r="D633" s="3024"/>
      <c r="E633" s="3024">
        <v>84.17</v>
      </c>
      <c r="F633" s="3024"/>
      <c r="G633" s="3024">
        <f t="shared" si="44"/>
        <v>84.17</v>
      </c>
      <c r="H633" s="3024"/>
      <c r="I633" s="3024"/>
      <c r="J633" s="3024"/>
      <c r="K633" s="3024">
        <f t="shared" si="45"/>
        <v>84.17</v>
      </c>
      <c r="L633" s="3024">
        <f t="shared" si="42"/>
        <v>84.17</v>
      </c>
      <c r="M633" s="3024"/>
    </row>
    <row r="634" spans="1:13">
      <c r="A634" s="3024"/>
      <c r="B634" s="3024"/>
      <c r="C634" s="3024">
        <v>-203</v>
      </c>
      <c r="D634" s="3024"/>
      <c r="E634" s="3024">
        <v>84.17</v>
      </c>
      <c r="F634" s="3024"/>
      <c r="G634" s="3024">
        <f t="shared" si="44"/>
        <v>84.17</v>
      </c>
      <c r="H634" s="3024"/>
      <c r="I634" s="3024"/>
      <c r="J634" s="3024"/>
      <c r="K634" s="3024">
        <f t="shared" si="45"/>
        <v>84.17</v>
      </c>
      <c r="L634" s="3024">
        <f t="shared" si="42"/>
        <v>84.17</v>
      </c>
      <c r="M634" s="3024"/>
    </row>
    <row r="635" spans="1:13">
      <c r="A635" s="3024"/>
      <c r="B635" s="3024"/>
      <c r="C635" s="3024">
        <v>-204</v>
      </c>
      <c r="D635" s="3024"/>
      <c r="E635" s="3024">
        <v>83.45</v>
      </c>
      <c r="F635" s="3024"/>
      <c r="G635" s="3024">
        <f t="shared" si="44"/>
        <v>83.45</v>
      </c>
      <c r="H635" s="3024"/>
      <c r="I635" s="3024"/>
      <c r="J635" s="3024"/>
      <c r="K635" s="3024">
        <f t="shared" si="45"/>
        <v>83.45</v>
      </c>
      <c r="L635" s="3024">
        <f t="shared" si="42"/>
        <v>83.45</v>
      </c>
      <c r="M635" s="3024"/>
    </row>
    <row r="636" spans="1:13">
      <c r="A636" s="3024"/>
      <c r="B636" s="3024"/>
      <c r="C636" s="3024">
        <v>-205</v>
      </c>
      <c r="D636" s="3024"/>
      <c r="E636" s="3024">
        <v>84.17</v>
      </c>
      <c r="F636" s="3024"/>
      <c r="G636" s="3024">
        <f t="shared" si="44"/>
        <v>84.17</v>
      </c>
      <c r="H636" s="3024"/>
      <c r="I636" s="3024"/>
      <c r="J636" s="3024"/>
      <c r="K636" s="3024">
        <f t="shared" si="45"/>
        <v>84.17</v>
      </c>
      <c r="L636" s="3024">
        <f t="shared" si="42"/>
        <v>84.17</v>
      </c>
      <c r="M636" s="3024"/>
    </row>
    <row r="637" spans="1:13">
      <c r="A637" s="3024"/>
      <c r="B637" s="3024"/>
      <c r="C637" s="3024">
        <v>-206</v>
      </c>
      <c r="D637" s="3024"/>
      <c r="E637" s="3024">
        <v>84.17</v>
      </c>
      <c r="F637" s="3024"/>
      <c r="G637" s="3024">
        <f t="shared" si="44"/>
        <v>84.17</v>
      </c>
      <c r="H637" s="3024"/>
      <c r="I637" s="3024"/>
      <c r="J637" s="3024"/>
      <c r="K637" s="3024">
        <f t="shared" si="45"/>
        <v>84.17</v>
      </c>
      <c r="L637" s="3024">
        <f t="shared" si="42"/>
        <v>84.17</v>
      </c>
      <c r="M637" s="3024"/>
    </row>
    <row r="638" spans="1:13">
      <c r="A638" s="3024"/>
      <c r="B638" s="3024"/>
      <c r="C638" s="3024">
        <v>101</v>
      </c>
      <c r="D638" s="3024">
        <v>134.29</v>
      </c>
      <c r="E638" s="3024">
        <v>84.35</v>
      </c>
      <c r="F638" s="3024"/>
      <c r="G638" s="3024">
        <f t="shared" si="44"/>
        <v>218.64</v>
      </c>
      <c r="H638" s="3024"/>
      <c r="I638" s="3024"/>
      <c r="J638" s="3024">
        <f>J596</f>
        <v>108.67</v>
      </c>
      <c r="K638" s="3024">
        <f t="shared" si="45"/>
        <v>109.96999999999998</v>
      </c>
      <c r="L638" s="3024">
        <f t="shared" si="42"/>
        <v>218.64</v>
      </c>
      <c r="M638" s="3024">
        <f>SUM(J638:J643)</f>
        <v>652.01</v>
      </c>
    </row>
    <row r="639" spans="1:13">
      <c r="A639" s="3024"/>
      <c r="B639" s="3024"/>
      <c r="C639" s="3024">
        <v>102</v>
      </c>
      <c r="D639" s="3024">
        <v>134.28</v>
      </c>
      <c r="E639" s="3024">
        <v>84.49</v>
      </c>
      <c r="F639" s="3024"/>
      <c r="G639" s="3024">
        <f t="shared" si="44"/>
        <v>218.76999999999998</v>
      </c>
      <c r="H639" s="3024"/>
      <c r="I639" s="3024"/>
      <c r="J639" s="3024">
        <f>J638</f>
        <v>108.67</v>
      </c>
      <c r="K639" s="3024">
        <f t="shared" si="45"/>
        <v>110.09999999999998</v>
      </c>
      <c r="L639" s="3024">
        <f t="shared" si="42"/>
        <v>218.76999999999998</v>
      </c>
      <c r="M639" s="3024"/>
    </row>
    <row r="640" spans="1:13">
      <c r="A640" s="3024"/>
      <c r="B640" s="3024"/>
      <c r="C640" s="3024">
        <v>103</v>
      </c>
      <c r="D640" s="3024">
        <v>134.47</v>
      </c>
      <c r="E640" s="3024">
        <v>84.77</v>
      </c>
      <c r="F640" s="3024"/>
      <c r="G640" s="3024">
        <f t="shared" si="44"/>
        <v>219.24</v>
      </c>
      <c r="H640" s="3024"/>
      <c r="I640" s="3024"/>
      <c r="J640" s="3024">
        <f>J638</f>
        <v>108.67</v>
      </c>
      <c r="K640" s="3024">
        <f t="shared" si="45"/>
        <v>110.57000000000001</v>
      </c>
      <c r="L640" s="3024">
        <f t="shared" si="42"/>
        <v>219.24</v>
      </c>
      <c r="M640" s="3024"/>
    </row>
    <row r="641" spans="1:13">
      <c r="A641" s="3024"/>
      <c r="B641" s="3024"/>
      <c r="C641" s="3024">
        <v>104</v>
      </c>
      <c r="D641" s="3024">
        <v>134.29</v>
      </c>
      <c r="E641" s="3024">
        <v>84.35</v>
      </c>
      <c r="F641" s="3024"/>
      <c r="G641" s="3024">
        <f t="shared" si="44"/>
        <v>218.64</v>
      </c>
      <c r="H641" s="3024"/>
      <c r="I641" s="3024"/>
      <c r="J641" s="3024">
        <f>J638</f>
        <v>108.67</v>
      </c>
      <c r="K641" s="3024">
        <f t="shared" si="45"/>
        <v>109.96999999999998</v>
      </c>
      <c r="L641" s="3024">
        <f t="shared" si="42"/>
        <v>218.64</v>
      </c>
      <c r="M641" s="3024"/>
    </row>
    <row r="642" spans="1:13">
      <c r="A642" s="3024"/>
      <c r="B642" s="3024"/>
      <c r="C642" s="3024">
        <v>105</v>
      </c>
      <c r="D642" s="3024">
        <v>134.28</v>
      </c>
      <c r="E642" s="3024">
        <v>84.49</v>
      </c>
      <c r="F642" s="3024"/>
      <c r="G642" s="3024">
        <f t="shared" si="44"/>
        <v>218.76999999999998</v>
      </c>
      <c r="H642" s="3024"/>
      <c r="I642" s="3024"/>
      <c r="J642" s="3024">
        <f>J638</f>
        <v>108.67</v>
      </c>
      <c r="K642" s="3024">
        <f t="shared" si="45"/>
        <v>110.09999999999998</v>
      </c>
      <c r="L642" s="3024">
        <f t="shared" si="42"/>
        <v>218.76999999999998</v>
      </c>
      <c r="M642" s="3024"/>
    </row>
    <row r="643" spans="1:13">
      <c r="A643" s="3024"/>
      <c r="B643" s="3024"/>
      <c r="C643" s="3024">
        <v>106</v>
      </c>
      <c r="D643" s="3024">
        <v>134.47</v>
      </c>
      <c r="E643" s="3024">
        <v>84.77</v>
      </c>
      <c r="F643" s="3024"/>
      <c r="G643" s="3024">
        <f t="shared" si="44"/>
        <v>219.24</v>
      </c>
      <c r="H643" s="3024"/>
      <c r="I643" s="3024"/>
      <c r="J643" s="3024">
        <v>108.66</v>
      </c>
      <c r="K643" s="3024">
        <f t="shared" si="45"/>
        <v>110.58000000000001</v>
      </c>
      <c r="L643" s="3024">
        <f t="shared" si="42"/>
        <v>219.24</v>
      </c>
      <c r="M643" s="3024"/>
    </row>
    <row r="644" spans="1:13">
      <c r="A644" s="3024" t="s">
        <v>3135</v>
      </c>
      <c r="B644" s="3024">
        <v>8</v>
      </c>
      <c r="C644" s="3024">
        <v>-201</v>
      </c>
      <c r="D644" s="3024"/>
      <c r="E644" s="3024">
        <v>83.38</v>
      </c>
      <c r="F644" s="3024"/>
      <c r="G644" s="3024">
        <f t="shared" si="44"/>
        <v>83.38</v>
      </c>
      <c r="H644" s="3024">
        <f>SUM(G644:G659)</f>
        <v>2419.88</v>
      </c>
      <c r="I644" s="3024"/>
      <c r="J644" s="3024"/>
      <c r="K644" s="3024">
        <f t="shared" si="45"/>
        <v>83.38</v>
      </c>
      <c r="L644" s="3024">
        <f t="shared" si="42"/>
        <v>83.38</v>
      </c>
      <c r="M644" s="3024"/>
    </row>
    <row r="645" spans="1:13">
      <c r="A645" s="3024"/>
      <c r="B645" s="3024"/>
      <c r="C645" s="3024">
        <v>-202</v>
      </c>
      <c r="D645" s="3024"/>
      <c r="E645" s="3024">
        <v>84.1</v>
      </c>
      <c r="F645" s="3024"/>
      <c r="G645" s="3024">
        <f t="shared" si="44"/>
        <v>84.1</v>
      </c>
      <c r="H645" s="3024"/>
      <c r="I645" s="3024"/>
      <c r="J645" s="3024"/>
      <c r="K645" s="3024">
        <f t="shared" si="45"/>
        <v>84.1</v>
      </c>
      <c r="L645" s="3024">
        <f t="shared" si="42"/>
        <v>84.1</v>
      </c>
      <c r="M645" s="3024"/>
    </row>
    <row r="646" spans="1:13">
      <c r="A646" s="3024"/>
      <c r="B646" s="3024"/>
      <c r="C646" s="3024">
        <v>-203</v>
      </c>
      <c r="D646" s="3024"/>
      <c r="E646" s="3024">
        <v>84.1</v>
      </c>
      <c r="F646" s="3024"/>
      <c r="G646" s="3024">
        <f t="shared" si="44"/>
        <v>84.1</v>
      </c>
      <c r="H646" s="3024"/>
      <c r="I646" s="3024"/>
      <c r="J646" s="3024"/>
      <c r="K646" s="3024">
        <f t="shared" si="45"/>
        <v>84.1</v>
      </c>
      <c r="L646" s="3024">
        <f t="shared" si="42"/>
        <v>84.1</v>
      </c>
      <c r="M646" s="3024"/>
    </row>
    <row r="647" spans="1:13">
      <c r="A647" s="3024"/>
      <c r="B647" s="3024"/>
      <c r="C647" s="3024">
        <v>-204</v>
      </c>
      <c r="D647" s="3024"/>
      <c r="E647" s="3024">
        <v>84.1</v>
      </c>
      <c r="F647" s="3024"/>
      <c r="G647" s="3024">
        <f t="shared" si="44"/>
        <v>84.1</v>
      </c>
      <c r="H647" s="3024"/>
      <c r="I647" s="3024"/>
      <c r="J647" s="3024"/>
      <c r="K647" s="3024">
        <f t="shared" si="45"/>
        <v>84.1</v>
      </c>
      <c r="L647" s="3024">
        <f t="shared" si="42"/>
        <v>84.1</v>
      </c>
      <c r="M647" s="3024"/>
    </row>
    <row r="648" spans="1:13">
      <c r="A648" s="3024"/>
      <c r="B648" s="3024"/>
      <c r="C648" s="3024">
        <v>-205</v>
      </c>
      <c r="D648" s="3024"/>
      <c r="E648" s="3024">
        <v>83.38</v>
      </c>
      <c r="F648" s="3024"/>
      <c r="G648" s="3024">
        <f t="shared" si="44"/>
        <v>83.38</v>
      </c>
      <c r="H648" s="3024"/>
      <c r="I648" s="3024"/>
      <c r="J648" s="3024"/>
      <c r="K648" s="3024">
        <f t="shared" si="45"/>
        <v>83.38</v>
      </c>
      <c r="L648" s="3024">
        <f t="shared" si="42"/>
        <v>83.38</v>
      </c>
      <c r="M648" s="3024"/>
    </row>
    <row r="649" spans="1:13">
      <c r="A649" s="3024"/>
      <c r="B649" s="3024"/>
      <c r="C649" s="3024">
        <v>-206</v>
      </c>
      <c r="D649" s="3024"/>
      <c r="E649" s="3024">
        <v>84.1</v>
      </c>
      <c r="F649" s="3024"/>
      <c r="G649" s="3024">
        <f t="shared" si="44"/>
        <v>84.1</v>
      </c>
      <c r="H649" s="3024"/>
      <c r="I649" s="3024"/>
      <c r="J649" s="3024"/>
      <c r="K649" s="3024">
        <f t="shared" si="45"/>
        <v>84.1</v>
      </c>
      <c r="L649" s="3024">
        <f t="shared" si="42"/>
        <v>84.1</v>
      </c>
      <c r="M649" s="3024"/>
    </row>
    <row r="650" spans="1:13">
      <c r="A650" s="3024"/>
      <c r="B650" s="3024"/>
      <c r="C650" s="3024">
        <v>-207</v>
      </c>
      <c r="D650" s="3024"/>
      <c r="E650" s="3024">
        <v>84.1</v>
      </c>
      <c r="F650" s="3024"/>
      <c r="G650" s="3024">
        <f t="shared" si="44"/>
        <v>84.1</v>
      </c>
      <c r="H650" s="3024"/>
      <c r="I650" s="3024"/>
      <c r="J650" s="3024"/>
      <c r="K650" s="3024">
        <f t="shared" si="45"/>
        <v>84.1</v>
      </c>
      <c r="L650" s="3024">
        <f t="shared" si="42"/>
        <v>84.1</v>
      </c>
      <c r="M650" s="3024"/>
    </row>
    <row r="651" spans="1:13">
      <c r="A651" s="3024"/>
      <c r="B651" s="3024"/>
      <c r="C651" s="3024">
        <v>-208</v>
      </c>
      <c r="D651" s="3024"/>
      <c r="E651" s="3024">
        <v>84.1</v>
      </c>
      <c r="F651" s="3024"/>
      <c r="G651" s="3024">
        <f t="shared" si="44"/>
        <v>84.1</v>
      </c>
      <c r="H651" s="3024"/>
      <c r="I651" s="3024"/>
      <c r="J651" s="3024"/>
      <c r="K651" s="3024">
        <f t="shared" si="45"/>
        <v>84.1</v>
      </c>
      <c r="L651" s="3024">
        <f t="shared" si="42"/>
        <v>84.1</v>
      </c>
      <c r="M651" s="3024"/>
    </row>
    <row r="652" spans="1:13">
      <c r="A652" s="3024"/>
      <c r="B652" s="3024"/>
      <c r="C652" s="3024">
        <v>101</v>
      </c>
      <c r="D652" s="3024">
        <v>134.11000000000001</v>
      </c>
      <c r="E652" s="3024">
        <v>84.23</v>
      </c>
      <c r="F652" s="3024"/>
      <c r="G652" s="3024">
        <f t="shared" si="44"/>
        <v>218.34000000000003</v>
      </c>
      <c r="H652" s="3024"/>
      <c r="I652" s="3024"/>
      <c r="J652" s="3024">
        <f>J610</f>
        <v>108.56</v>
      </c>
      <c r="K652" s="3024">
        <f t="shared" si="45"/>
        <v>109.78000000000003</v>
      </c>
      <c r="L652" s="3024">
        <f t="shared" si="42"/>
        <v>218.34000000000003</v>
      </c>
      <c r="M652" s="3024">
        <f>SUM(J652:J659)</f>
        <v>868.4699999999998</v>
      </c>
    </row>
    <row r="653" spans="1:13">
      <c r="A653" s="3024"/>
      <c r="B653" s="3024"/>
      <c r="C653" s="3024">
        <v>102</v>
      </c>
      <c r="D653" s="3024">
        <v>134.11000000000001</v>
      </c>
      <c r="E653" s="3024">
        <v>84.38</v>
      </c>
      <c r="F653" s="3024"/>
      <c r="G653" s="3024">
        <f t="shared" si="44"/>
        <v>218.49</v>
      </c>
      <c r="H653" s="3024"/>
      <c r="I653" s="3024"/>
      <c r="J653" s="3024">
        <f>J652</f>
        <v>108.56</v>
      </c>
      <c r="K653" s="3024">
        <f t="shared" si="45"/>
        <v>109.93</v>
      </c>
      <c r="L653" s="3024">
        <f t="shared" si="42"/>
        <v>218.49</v>
      </c>
      <c r="M653" s="3024"/>
    </row>
    <row r="654" spans="1:13">
      <c r="A654" s="3024"/>
      <c r="B654" s="3024"/>
      <c r="C654" s="3024">
        <v>103</v>
      </c>
      <c r="D654" s="3024">
        <v>134.11000000000001</v>
      </c>
      <c r="E654" s="3024">
        <v>84.38</v>
      </c>
      <c r="F654" s="3024"/>
      <c r="G654" s="3024">
        <f t="shared" si="44"/>
        <v>218.49</v>
      </c>
      <c r="H654" s="3024"/>
      <c r="I654" s="3024"/>
      <c r="J654" s="3024">
        <f>J652</f>
        <v>108.56</v>
      </c>
      <c r="K654" s="3024">
        <f t="shared" si="45"/>
        <v>109.93</v>
      </c>
      <c r="L654" s="3024">
        <f t="shared" si="42"/>
        <v>218.49</v>
      </c>
      <c r="M654" s="3024"/>
    </row>
    <row r="655" spans="1:13">
      <c r="A655" s="3024"/>
      <c r="B655" s="3024"/>
      <c r="C655" s="3024">
        <v>104</v>
      </c>
      <c r="D655" s="3024">
        <v>134.30000000000001</v>
      </c>
      <c r="E655" s="3024">
        <v>84.64</v>
      </c>
      <c r="F655" s="3024"/>
      <c r="G655" s="3024">
        <f t="shared" si="44"/>
        <v>218.94</v>
      </c>
      <c r="H655" s="3024"/>
      <c r="I655" s="3024"/>
      <c r="J655" s="3024">
        <f>J652</f>
        <v>108.56</v>
      </c>
      <c r="K655" s="3024">
        <f t="shared" si="45"/>
        <v>110.38</v>
      </c>
      <c r="L655" s="3024">
        <f t="shared" si="42"/>
        <v>218.94</v>
      </c>
      <c r="M655" s="3024"/>
    </row>
    <row r="656" spans="1:13">
      <c r="A656" s="3024"/>
      <c r="B656" s="3024"/>
      <c r="C656" s="3024">
        <v>105</v>
      </c>
      <c r="D656" s="3024">
        <v>134.11000000000001</v>
      </c>
      <c r="E656" s="3024">
        <v>84.23</v>
      </c>
      <c r="F656" s="3024"/>
      <c r="G656" s="3024">
        <f t="shared" si="44"/>
        <v>218.34000000000003</v>
      </c>
      <c r="H656" s="3024"/>
      <c r="I656" s="3024"/>
      <c r="J656" s="3024">
        <f>J652</f>
        <v>108.56</v>
      </c>
      <c r="K656" s="3024">
        <f t="shared" si="45"/>
        <v>109.78000000000003</v>
      </c>
      <c r="L656" s="3024">
        <f t="shared" si="42"/>
        <v>218.34000000000003</v>
      </c>
      <c r="M656" s="3024"/>
    </row>
    <row r="657" spans="1:13">
      <c r="A657" s="3024"/>
      <c r="B657" s="3024"/>
      <c r="C657" s="3024">
        <v>106</v>
      </c>
      <c r="D657" s="3024">
        <v>134.11000000000001</v>
      </c>
      <c r="E657" s="3024">
        <v>84.38</v>
      </c>
      <c r="F657" s="3024"/>
      <c r="G657" s="3024">
        <f t="shared" si="44"/>
        <v>218.49</v>
      </c>
      <c r="H657" s="3024"/>
      <c r="I657" s="3024"/>
      <c r="J657" s="3024">
        <f>J652</f>
        <v>108.56</v>
      </c>
      <c r="K657" s="3024">
        <f t="shared" si="45"/>
        <v>109.93</v>
      </c>
      <c r="L657" s="3024">
        <f t="shared" si="42"/>
        <v>218.49</v>
      </c>
      <c r="M657" s="3024"/>
    </row>
    <row r="658" spans="1:13">
      <c r="A658" s="3024"/>
      <c r="B658" s="3024"/>
      <c r="C658" s="3024">
        <v>107</v>
      </c>
      <c r="D658" s="3024">
        <v>134.11000000000001</v>
      </c>
      <c r="E658" s="3024">
        <v>84.38</v>
      </c>
      <c r="F658" s="3024"/>
      <c r="G658" s="3024">
        <f t="shared" si="44"/>
        <v>218.49</v>
      </c>
      <c r="H658" s="3024"/>
      <c r="I658" s="3024"/>
      <c r="J658" s="3024">
        <f>J652</f>
        <v>108.56</v>
      </c>
      <c r="K658" s="3024">
        <f t="shared" si="45"/>
        <v>109.93</v>
      </c>
      <c r="L658" s="3024">
        <f t="shared" si="42"/>
        <v>218.49</v>
      </c>
      <c r="M658" s="3024"/>
    </row>
    <row r="659" spans="1:13">
      <c r="A659" s="3024"/>
      <c r="B659" s="3024"/>
      <c r="C659" s="3024">
        <v>108</v>
      </c>
      <c r="D659" s="3024">
        <v>134.30000000000001</v>
      </c>
      <c r="E659" s="3024">
        <v>84.64</v>
      </c>
      <c r="F659" s="3024"/>
      <c r="G659" s="3024">
        <f t="shared" si="44"/>
        <v>218.94</v>
      </c>
      <c r="H659" s="3024"/>
      <c r="I659" s="3024"/>
      <c r="J659" s="3024">
        <v>108.55</v>
      </c>
      <c r="K659" s="3024">
        <f t="shared" si="45"/>
        <v>110.39</v>
      </c>
      <c r="L659" s="3024">
        <f t="shared" si="42"/>
        <v>218.94</v>
      </c>
      <c r="M659" s="3024"/>
    </row>
    <row r="660" spans="1:13">
      <c r="A660" s="3024" t="s">
        <v>3136</v>
      </c>
      <c r="B660" s="3024">
        <v>4</v>
      </c>
      <c r="C660" s="3024">
        <v>-201</v>
      </c>
      <c r="D660" s="3024"/>
      <c r="E660" s="3024">
        <v>114.12</v>
      </c>
      <c r="F660" s="3024"/>
      <c r="G660" s="3024">
        <f t="shared" si="44"/>
        <v>114.12</v>
      </c>
      <c r="H660" s="3024">
        <f>SUM(G660:G667)</f>
        <v>1629.1200000000001</v>
      </c>
      <c r="I660" s="3024"/>
      <c r="J660" s="3024"/>
      <c r="K660" s="3024">
        <f t="shared" si="45"/>
        <v>114.12</v>
      </c>
      <c r="L660" s="3024">
        <f t="shared" si="42"/>
        <v>114.12</v>
      </c>
      <c r="M660" s="3024"/>
    </row>
    <row r="661" spans="1:13">
      <c r="A661" s="3024"/>
      <c r="B661" s="3024"/>
      <c r="C661" s="3024">
        <v>-202</v>
      </c>
      <c r="D661" s="3024"/>
      <c r="E661" s="3024">
        <v>114.12</v>
      </c>
      <c r="F661" s="3024"/>
      <c r="G661" s="3024">
        <f t="shared" si="44"/>
        <v>114.12</v>
      </c>
      <c r="H661" s="3024"/>
      <c r="I661" s="3024"/>
      <c r="J661" s="3024"/>
      <c r="K661" s="3024">
        <f t="shared" si="45"/>
        <v>114.12</v>
      </c>
      <c r="L661" s="3024">
        <f t="shared" si="42"/>
        <v>114.12</v>
      </c>
      <c r="M661" s="3024"/>
    </row>
    <row r="662" spans="1:13">
      <c r="A662" s="3024"/>
      <c r="B662" s="3024"/>
      <c r="C662" s="3024">
        <v>-203</v>
      </c>
      <c r="D662" s="3024"/>
      <c r="E662" s="3024">
        <v>114.12</v>
      </c>
      <c r="F662" s="3024"/>
      <c r="G662" s="3024">
        <f t="shared" si="44"/>
        <v>114.12</v>
      </c>
      <c r="H662" s="3024"/>
      <c r="I662" s="3024"/>
      <c r="J662" s="3024"/>
      <c r="K662" s="3024">
        <f t="shared" si="45"/>
        <v>114.12</v>
      </c>
      <c r="L662" s="3024">
        <f t="shared" si="42"/>
        <v>114.12</v>
      </c>
      <c r="M662" s="3024"/>
    </row>
    <row r="663" spans="1:13">
      <c r="A663" s="3024"/>
      <c r="B663" s="3024"/>
      <c r="C663" s="3024">
        <v>-204</v>
      </c>
      <c r="D663" s="3024"/>
      <c r="E663" s="3024">
        <v>114.92</v>
      </c>
      <c r="F663" s="3024"/>
      <c r="G663" s="3024">
        <f t="shared" si="44"/>
        <v>114.92</v>
      </c>
      <c r="H663" s="3024"/>
      <c r="I663" s="3024"/>
      <c r="J663" s="3024"/>
      <c r="K663" s="3024">
        <f t="shared" si="45"/>
        <v>114.92</v>
      </c>
      <c r="L663" s="3024">
        <f t="shared" si="42"/>
        <v>114.92</v>
      </c>
      <c r="M663" s="3024"/>
    </row>
    <row r="664" spans="1:13">
      <c r="A664" s="3024"/>
      <c r="B664" s="3024"/>
      <c r="C664" s="3024">
        <v>101</v>
      </c>
      <c r="D664" s="3024">
        <v>178.28</v>
      </c>
      <c r="E664" s="3024">
        <v>114.56</v>
      </c>
      <c r="F664" s="3024"/>
      <c r="G664" s="3024">
        <f t="shared" si="44"/>
        <v>292.84000000000003</v>
      </c>
      <c r="H664" s="3024"/>
      <c r="I664" s="3024"/>
      <c r="J664" s="3024">
        <f>ROUND(563.59/4,2)</f>
        <v>140.9</v>
      </c>
      <c r="K664" s="3024">
        <f t="shared" si="45"/>
        <v>151.94000000000003</v>
      </c>
      <c r="L664" s="3024">
        <f t="shared" si="42"/>
        <v>292.84000000000003</v>
      </c>
      <c r="M664" s="3024">
        <f>SUM(J664:J667)</f>
        <v>563.59000000000015</v>
      </c>
    </row>
    <row r="665" spans="1:13">
      <c r="A665" s="3024"/>
      <c r="B665" s="3024"/>
      <c r="C665" s="3024">
        <v>102</v>
      </c>
      <c r="D665" s="3024">
        <v>178.28</v>
      </c>
      <c r="E665" s="3024">
        <v>114.56</v>
      </c>
      <c r="F665" s="3024"/>
      <c r="G665" s="3024">
        <f t="shared" si="44"/>
        <v>292.84000000000003</v>
      </c>
      <c r="H665" s="3024"/>
      <c r="I665" s="3024"/>
      <c r="J665" s="3024">
        <f>J664</f>
        <v>140.9</v>
      </c>
      <c r="K665" s="3024">
        <f t="shared" si="45"/>
        <v>151.94000000000003</v>
      </c>
      <c r="L665" s="3024">
        <f t="shared" si="42"/>
        <v>292.84000000000003</v>
      </c>
      <c r="M665" s="3024"/>
    </row>
    <row r="666" spans="1:13">
      <c r="A666" s="3024"/>
      <c r="B666" s="3024"/>
      <c r="C666" s="3024">
        <v>103</v>
      </c>
      <c r="D666" s="3024">
        <v>178.28</v>
      </c>
      <c r="E666" s="3024">
        <v>114.56</v>
      </c>
      <c r="F666" s="3024"/>
      <c r="G666" s="3024">
        <f t="shared" si="44"/>
        <v>292.84000000000003</v>
      </c>
      <c r="H666" s="3024"/>
      <c r="I666" s="3024"/>
      <c r="J666" s="3024">
        <f>J664</f>
        <v>140.9</v>
      </c>
      <c r="K666" s="3024">
        <f t="shared" si="45"/>
        <v>151.94000000000003</v>
      </c>
      <c r="L666" s="3024">
        <f t="shared" si="42"/>
        <v>292.84000000000003</v>
      </c>
      <c r="M666" s="3024"/>
    </row>
    <row r="667" spans="1:13">
      <c r="A667" s="3024"/>
      <c r="B667" s="3024"/>
      <c r="C667" s="3024">
        <v>104</v>
      </c>
      <c r="D667" s="3024">
        <v>178.5</v>
      </c>
      <c r="E667" s="3024">
        <v>114.82</v>
      </c>
      <c r="F667" s="3024"/>
      <c r="G667" s="3024">
        <f t="shared" si="44"/>
        <v>293.32</v>
      </c>
      <c r="H667" s="3024"/>
      <c r="I667" s="3024"/>
      <c r="J667" s="3024">
        <f>563.59-J664-J665-J666</f>
        <v>140.89000000000007</v>
      </c>
      <c r="K667" s="3024">
        <f t="shared" si="45"/>
        <v>152.42999999999992</v>
      </c>
      <c r="L667" s="3024">
        <f t="shared" si="42"/>
        <v>293.32</v>
      </c>
      <c r="M667" s="3024"/>
    </row>
    <row r="668" spans="1:13">
      <c r="A668" s="3024" t="s">
        <v>3137</v>
      </c>
      <c r="B668" s="3024">
        <v>4</v>
      </c>
      <c r="C668" s="3024">
        <v>-201</v>
      </c>
      <c r="D668" s="3024"/>
      <c r="E668" s="3024">
        <v>114.12</v>
      </c>
      <c r="F668" s="3024"/>
      <c r="G668" s="3024">
        <f t="shared" si="44"/>
        <v>114.12</v>
      </c>
      <c r="H668" s="3024">
        <f>SUM(G668:G675)</f>
        <v>1629.1200000000001</v>
      </c>
      <c r="I668" s="3024"/>
      <c r="J668" s="3024"/>
      <c r="K668" s="3024">
        <f t="shared" si="45"/>
        <v>114.12</v>
      </c>
      <c r="L668" s="3024">
        <f t="shared" si="42"/>
        <v>114.12</v>
      </c>
      <c r="M668" s="3024"/>
    </row>
    <row r="669" spans="1:13">
      <c r="A669" s="3024"/>
      <c r="B669" s="3024"/>
      <c r="C669" s="3024">
        <v>-202</v>
      </c>
      <c r="D669" s="3024"/>
      <c r="E669" s="3024">
        <v>114.12</v>
      </c>
      <c r="F669" s="3024"/>
      <c r="G669" s="3024">
        <f t="shared" si="44"/>
        <v>114.12</v>
      </c>
      <c r="H669" s="3024"/>
      <c r="I669" s="3024"/>
      <c r="J669" s="3024"/>
      <c r="K669" s="3024">
        <f t="shared" si="45"/>
        <v>114.12</v>
      </c>
      <c r="L669" s="3024">
        <f t="shared" si="42"/>
        <v>114.12</v>
      </c>
      <c r="M669" s="3024"/>
    </row>
    <row r="670" spans="1:13">
      <c r="A670" s="3024"/>
      <c r="B670" s="3024"/>
      <c r="C670" s="3024">
        <v>-203</v>
      </c>
      <c r="D670" s="3024"/>
      <c r="E670" s="3024">
        <v>114.12</v>
      </c>
      <c r="F670" s="3024"/>
      <c r="G670" s="3024">
        <f t="shared" si="44"/>
        <v>114.12</v>
      </c>
      <c r="H670" s="3024"/>
      <c r="I670" s="3024"/>
      <c r="J670" s="3024"/>
      <c r="K670" s="3024">
        <f t="shared" si="45"/>
        <v>114.12</v>
      </c>
      <c r="L670" s="3024">
        <f t="shared" si="42"/>
        <v>114.12</v>
      </c>
      <c r="M670" s="3024"/>
    </row>
    <row r="671" spans="1:13">
      <c r="A671" s="3024"/>
      <c r="B671" s="3024"/>
      <c r="C671" s="3024">
        <v>-204</v>
      </c>
      <c r="D671" s="3024"/>
      <c r="E671" s="3024">
        <v>114.92</v>
      </c>
      <c r="F671" s="3024"/>
      <c r="G671" s="3024">
        <f t="shared" si="44"/>
        <v>114.92</v>
      </c>
      <c r="H671" s="3024"/>
      <c r="I671" s="3024"/>
      <c r="J671" s="3024"/>
      <c r="K671" s="3024">
        <f t="shared" si="45"/>
        <v>114.92</v>
      </c>
      <c r="L671" s="3024">
        <f t="shared" si="42"/>
        <v>114.92</v>
      </c>
      <c r="M671" s="3024"/>
    </row>
    <row r="672" spans="1:13">
      <c r="A672" s="3024"/>
      <c r="B672" s="3024"/>
      <c r="C672" s="3024">
        <v>101</v>
      </c>
      <c r="D672" s="3024">
        <v>178.28</v>
      </c>
      <c r="E672" s="3024">
        <v>114.56</v>
      </c>
      <c r="F672" s="3024"/>
      <c r="G672" s="3024">
        <f t="shared" si="44"/>
        <v>292.84000000000003</v>
      </c>
      <c r="H672" s="3024"/>
      <c r="I672" s="3024"/>
      <c r="J672" s="3024">
        <f>J664</f>
        <v>140.9</v>
      </c>
      <c r="K672" s="3024">
        <f t="shared" si="45"/>
        <v>151.94000000000003</v>
      </c>
      <c r="L672" s="3024">
        <f t="shared" si="42"/>
        <v>292.84000000000003</v>
      </c>
      <c r="M672" s="3024">
        <f>SUM(J672:J675)</f>
        <v>563.59000000000015</v>
      </c>
    </row>
    <row r="673" spans="1:13">
      <c r="A673" s="3024"/>
      <c r="B673" s="3024"/>
      <c r="C673" s="3024">
        <v>102</v>
      </c>
      <c r="D673" s="3024">
        <v>178.28</v>
      </c>
      <c r="E673" s="3024">
        <v>114.56</v>
      </c>
      <c r="F673" s="3024"/>
      <c r="G673" s="3024">
        <f t="shared" si="44"/>
        <v>292.84000000000003</v>
      </c>
      <c r="H673" s="3024"/>
      <c r="I673" s="3024"/>
      <c r="J673" s="3024">
        <f>J665</f>
        <v>140.9</v>
      </c>
      <c r="K673" s="3024">
        <f t="shared" si="45"/>
        <v>151.94000000000003</v>
      </c>
      <c r="L673" s="3024">
        <f t="shared" si="42"/>
        <v>292.84000000000003</v>
      </c>
      <c r="M673" s="3024"/>
    </row>
    <row r="674" spans="1:13">
      <c r="A674" s="3024"/>
      <c r="B674" s="3024"/>
      <c r="C674" s="3024">
        <v>103</v>
      </c>
      <c r="D674" s="3024">
        <v>178.28</v>
      </c>
      <c r="E674" s="3024">
        <v>114.56</v>
      </c>
      <c r="F674" s="3024"/>
      <c r="G674" s="3024">
        <f t="shared" si="44"/>
        <v>292.84000000000003</v>
      </c>
      <c r="H674" s="3024"/>
      <c r="I674" s="3024"/>
      <c r="J674" s="3024">
        <f>J666</f>
        <v>140.9</v>
      </c>
      <c r="K674" s="3024">
        <f t="shared" si="45"/>
        <v>151.94000000000003</v>
      </c>
      <c r="L674" s="3024">
        <f t="shared" si="42"/>
        <v>292.84000000000003</v>
      </c>
      <c r="M674" s="3024"/>
    </row>
    <row r="675" spans="1:13">
      <c r="A675" s="3024"/>
      <c r="B675" s="3024"/>
      <c r="C675" s="3024">
        <v>104</v>
      </c>
      <c r="D675" s="3024">
        <v>178.5</v>
      </c>
      <c r="E675" s="3024">
        <v>114.82</v>
      </c>
      <c r="F675" s="3024"/>
      <c r="G675" s="3024">
        <f t="shared" ref="G675:G738" si="46">SUM(D675:F675)</f>
        <v>293.32</v>
      </c>
      <c r="H675" s="3024"/>
      <c r="I675" s="3024"/>
      <c r="J675" s="3024">
        <f>J667</f>
        <v>140.89000000000007</v>
      </c>
      <c r="K675" s="3024">
        <f t="shared" si="45"/>
        <v>152.42999999999992</v>
      </c>
      <c r="L675" s="3024">
        <f t="shared" si="42"/>
        <v>293.32</v>
      </c>
      <c r="M675" s="3024"/>
    </row>
    <row r="676" spans="1:13">
      <c r="A676" s="3024" t="s">
        <v>3138</v>
      </c>
      <c r="B676" s="3024">
        <v>3</v>
      </c>
      <c r="C676" s="3024">
        <v>-201</v>
      </c>
      <c r="D676" s="3024"/>
      <c r="E676" s="3024">
        <v>114.22</v>
      </c>
      <c r="F676" s="3024"/>
      <c r="G676" s="3024">
        <f t="shared" si="46"/>
        <v>114.22</v>
      </c>
      <c r="H676" s="3024">
        <f>SUM(G676:G681)</f>
        <v>1223.4499999999998</v>
      </c>
      <c r="I676" s="3024"/>
      <c r="J676" s="3024"/>
      <c r="K676" s="3024">
        <f t="shared" si="45"/>
        <v>114.22</v>
      </c>
      <c r="L676" s="3024">
        <f t="shared" si="42"/>
        <v>114.22</v>
      </c>
      <c r="M676" s="3024"/>
    </row>
    <row r="677" spans="1:13">
      <c r="A677" s="3024"/>
      <c r="B677" s="3024"/>
      <c r="C677" s="3024">
        <v>-202</v>
      </c>
      <c r="D677" s="3024"/>
      <c r="E677" s="3024">
        <v>114.22</v>
      </c>
      <c r="F677" s="3024"/>
      <c r="G677" s="3024">
        <f t="shared" si="46"/>
        <v>114.22</v>
      </c>
      <c r="H677" s="3024"/>
      <c r="I677" s="3024"/>
      <c r="J677" s="3024"/>
      <c r="K677" s="3024">
        <f t="shared" si="45"/>
        <v>114.22</v>
      </c>
      <c r="L677" s="3024">
        <f t="shared" si="42"/>
        <v>114.22</v>
      </c>
      <c r="M677" s="3024"/>
    </row>
    <row r="678" spans="1:13">
      <c r="A678" s="3024"/>
      <c r="B678" s="3024"/>
      <c r="C678" s="3024">
        <v>-203</v>
      </c>
      <c r="D678" s="3024"/>
      <c r="E678" s="3024">
        <v>115.02</v>
      </c>
      <c r="F678" s="3024"/>
      <c r="G678" s="3024">
        <f t="shared" si="46"/>
        <v>115.02</v>
      </c>
      <c r="H678" s="3024"/>
      <c r="I678" s="3024"/>
      <c r="J678" s="3024"/>
      <c r="K678" s="3024">
        <f t="shared" si="45"/>
        <v>115.02</v>
      </c>
      <c r="L678" s="3024">
        <f t="shared" si="42"/>
        <v>115.02</v>
      </c>
      <c r="M678" s="3024"/>
    </row>
    <row r="679" spans="1:13">
      <c r="A679" s="3024"/>
      <c r="B679" s="3024"/>
      <c r="C679" s="3024">
        <v>101</v>
      </c>
      <c r="D679" s="3024">
        <v>178.48</v>
      </c>
      <c r="E679" s="3024">
        <v>114.69</v>
      </c>
      <c r="F679" s="3024"/>
      <c r="G679" s="3024">
        <f t="shared" si="46"/>
        <v>293.16999999999996</v>
      </c>
      <c r="H679" s="3024"/>
      <c r="I679" s="3024"/>
      <c r="J679" s="3024">
        <f>ROUND(423.08/3,2)</f>
        <v>141.03</v>
      </c>
      <c r="K679" s="3024">
        <f t="shared" si="45"/>
        <v>152.13999999999996</v>
      </c>
      <c r="L679" s="3024">
        <f t="shared" si="42"/>
        <v>293.16999999999996</v>
      </c>
      <c r="M679" s="3024">
        <f>SUM(J679:J681)</f>
        <v>423.07999999999993</v>
      </c>
    </row>
    <row r="680" spans="1:13">
      <c r="A680" s="3024"/>
      <c r="B680" s="3024"/>
      <c r="C680" s="3024">
        <v>102</v>
      </c>
      <c r="D680" s="3024">
        <v>178.48</v>
      </c>
      <c r="E680" s="3024">
        <v>114.69</v>
      </c>
      <c r="F680" s="3024"/>
      <c r="G680" s="3024">
        <f t="shared" si="46"/>
        <v>293.16999999999996</v>
      </c>
      <c r="H680" s="3024"/>
      <c r="I680" s="3024"/>
      <c r="J680" s="3024">
        <f>J679</f>
        <v>141.03</v>
      </c>
      <c r="K680" s="3024">
        <f t="shared" si="45"/>
        <v>152.13999999999996</v>
      </c>
      <c r="L680" s="3024">
        <f t="shared" si="42"/>
        <v>293.16999999999996</v>
      </c>
      <c r="M680" s="3024"/>
    </row>
    <row r="681" spans="1:13">
      <c r="A681" s="3024"/>
      <c r="B681" s="3024"/>
      <c r="C681" s="3024">
        <v>103</v>
      </c>
      <c r="D681" s="3024">
        <v>178.71</v>
      </c>
      <c r="E681" s="3024">
        <v>114.94</v>
      </c>
      <c r="F681" s="3024"/>
      <c r="G681" s="3024">
        <f t="shared" si="46"/>
        <v>293.64999999999998</v>
      </c>
      <c r="H681" s="3024"/>
      <c r="I681" s="3024"/>
      <c r="J681" s="3024">
        <f>423.08-J679-J680</f>
        <v>141.01999999999995</v>
      </c>
      <c r="K681" s="3024">
        <f t="shared" si="45"/>
        <v>152.63000000000002</v>
      </c>
      <c r="L681" s="3024">
        <f t="shared" si="42"/>
        <v>293.64999999999998</v>
      </c>
      <c r="M681" s="3024"/>
    </row>
    <row r="682" spans="1:13">
      <c r="A682" s="3024" t="s">
        <v>3139</v>
      </c>
      <c r="B682" s="3024">
        <v>6</v>
      </c>
      <c r="C682" s="3024">
        <v>-201</v>
      </c>
      <c r="D682" s="3024"/>
      <c r="E682" s="3024">
        <v>83.45</v>
      </c>
      <c r="F682" s="3024"/>
      <c r="G682" s="3024">
        <f t="shared" si="46"/>
        <v>83.45</v>
      </c>
      <c r="H682" s="3024">
        <f>SUM(G682:G693)</f>
        <v>1816.8799999999999</v>
      </c>
      <c r="I682" s="3024"/>
      <c r="J682" s="3024"/>
      <c r="K682" s="3024">
        <f t="shared" ref="K682:K745" si="47">G682-J682</f>
        <v>83.45</v>
      </c>
      <c r="L682" s="3024">
        <f t="shared" si="42"/>
        <v>83.45</v>
      </c>
      <c r="M682" s="3024"/>
    </row>
    <row r="683" spans="1:13">
      <c r="A683" s="3024"/>
      <c r="B683" s="3024"/>
      <c r="C683" s="3024">
        <v>-202</v>
      </c>
      <c r="D683" s="3024"/>
      <c r="E683" s="3024">
        <v>84.17</v>
      </c>
      <c r="F683" s="3024"/>
      <c r="G683" s="3024">
        <f t="shared" si="46"/>
        <v>84.17</v>
      </c>
      <c r="H683" s="3024"/>
      <c r="I683" s="3024"/>
      <c r="J683" s="3024"/>
      <c r="K683" s="3024">
        <f t="shared" si="47"/>
        <v>84.17</v>
      </c>
      <c r="L683" s="3024">
        <f t="shared" si="42"/>
        <v>84.17</v>
      </c>
      <c r="M683" s="3024"/>
    </row>
    <row r="684" spans="1:13">
      <c r="A684" s="3024"/>
      <c r="B684" s="3024"/>
      <c r="C684" s="3024">
        <v>-203</v>
      </c>
      <c r="D684" s="3024"/>
      <c r="E684" s="3024">
        <v>84.17</v>
      </c>
      <c r="F684" s="3024"/>
      <c r="G684" s="3024">
        <f t="shared" si="46"/>
        <v>84.17</v>
      </c>
      <c r="H684" s="3024"/>
      <c r="I684" s="3024"/>
      <c r="J684" s="3024"/>
      <c r="K684" s="3024">
        <f t="shared" si="47"/>
        <v>84.17</v>
      </c>
      <c r="L684" s="3024">
        <f t="shared" si="42"/>
        <v>84.17</v>
      </c>
      <c r="M684" s="3024"/>
    </row>
    <row r="685" spans="1:13">
      <c r="A685" s="3024"/>
      <c r="B685" s="3024"/>
      <c r="C685" s="3024">
        <v>-204</v>
      </c>
      <c r="D685" s="3024"/>
      <c r="E685" s="3024">
        <v>83.45</v>
      </c>
      <c r="F685" s="3024"/>
      <c r="G685" s="3024">
        <f t="shared" si="46"/>
        <v>83.45</v>
      </c>
      <c r="H685" s="3024"/>
      <c r="I685" s="3024"/>
      <c r="J685" s="3024"/>
      <c r="K685" s="3024">
        <f t="shared" si="47"/>
        <v>83.45</v>
      </c>
      <c r="L685" s="3024">
        <f t="shared" si="42"/>
        <v>83.45</v>
      </c>
      <c r="M685" s="3024"/>
    </row>
    <row r="686" spans="1:13">
      <c r="A686" s="3024"/>
      <c r="B686" s="3024"/>
      <c r="C686" s="3024">
        <v>-205</v>
      </c>
      <c r="D686" s="3024"/>
      <c r="E686" s="3024">
        <v>84.17</v>
      </c>
      <c r="F686" s="3024"/>
      <c r="G686" s="3024">
        <f t="shared" si="46"/>
        <v>84.17</v>
      </c>
      <c r="H686" s="3024"/>
      <c r="I686" s="3024"/>
      <c r="J686" s="3024"/>
      <c r="K686" s="3024">
        <f t="shared" si="47"/>
        <v>84.17</v>
      </c>
      <c r="L686" s="3024">
        <f t="shared" si="42"/>
        <v>84.17</v>
      </c>
      <c r="M686" s="3024"/>
    </row>
    <row r="687" spans="1:13">
      <c r="A687" s="3024"/>
      <c r="B687" s="3024"/>
      <c r="C687" s="3024">
        <v>-206</v>
      </c>
      <c r="D687" s="3024"/>
      <c r="E687" s="3024">
        <v>84.17</v>
      </c>
      <c r="F687" s="3024"/>
      <c r="G687" s="3024">
        <f t="shared" si="46"/>
        <v>84.17</v>
      </c>
      <c r="H687" s="3024"/>
      <c r="I687" s="3024"/>
      <c r="J687" s="3024"/>
      <c r="K687" s="3024">
        <f t="shared" si="47"/>
        <v>84.17</v>
      </c>
      <c r="L687" s="3024">
        <f t="shared" si="42"/>
        <v>84.17</v>
      </c>
      <c r="M687" s="3024"/>
    </row>
    <row r="688" spans="1:13">
      <c r="A688" s="3024"/>
      <c r="B688" s="3024"/>
      <c r="C688" s="3024">
        <v>101</v>
      </c>
      <c r="D688" s="3024">
        <v>134.29</v>
      </c>
      <c r="E688" s="3024">
        <v>84.35</v>
      </c>
      <c r="F688" s="3024"/>
      <c r="G688" s="3024">
        <f t="shared" si="46"/>
        <v>218.64</v>
      </c>
      <c r="H688" s="3024"/>
      <c r="I688" s="3024"/>
      <c r="J688" s="3024">
        <f>J638</f>
        <v>108.67</v>
      </c>
      <c r="K688" s="3024">
        <f t="shared" si="47"/>
        <v>109.96999999999998</v>
      </c>
      <c r="L688" s="3024">
        <f t="shared" si="42"/>
        <v>218.64</v>
      </c>
      <c r="M688" s="3024">
        <f>SUM(J688:J693)</f>
        <v>652.01</v>
      </c>
    </row>
    <row r="689" spans="1:13">
      <c r="A689" s="3024"/>
      <c r="B689" s="3024"/>
      <c r="C689" s="3024">
        <v>102</v>
      </c>
      <c r="D689" s="3024">
        <v>134.28</v>
      </c>
      <c r="E689" s="3024">
        <v>84.49</v>
      </c>
      <c r="F689" s="3024"/>
      <c r="G689" s="3024">
        <f t="shared" si="46"/>
        <v>218.76999999999998</v>
      </c>
      <c r="H689" s="3024"/>
      <c r="I689" s="3024"/>
      <c r="J689" s="3024">
        <f>J688</f>
        <v>108.67</v>
      </c>
      <c r="K689" s="3024">
        <f t="shared" si="47"/>
        <v>110.09999999999998</v>
      </c>
      <c r="L689" s="3024">
        <f t="shared" si="42"/>
        <v>218.76999999999998</v>
      </c>
      <c r="M689" s="3024"/>
    </row>
    <row r="690" spans="1:13">
      <c r="A690" s="3024"/>
      <c r="B690" s="3024"/>
      <c r="C690" s="3024">
        <v>103</v>
      </c>
      <c r="D690" s="3024">
        <v>134.47</v>
      </c>
      <c r="E690" s="3024">
        <v>84.77</v>
      </c>
      <c r="F690" s="3024"/>
      <c r="G690" s="3024">
        <f t="shared" si="46"/>
        <v>219.24</v>
      </c>
      <c r="H690" s="3024"/>
      <c r="I690" s="3024"/>
      <c r="J690" s="3024">
        <f>J688</f>
        <v>108.67</v>
      </c>
      <c r="K690" s="3024">
        <f t="shared" si="47"/>
        <v>110.57000000000001</v>
      </c>
      <c r="L690" s="3024">
        <f t="shared" si="42"/>
        <v>219.24</v>
      </c>
      <c r="M690" s="3024"/>
    </row>
    <row r="691" spans="1:13">
      <c r="A691" s="3024"/>
      <c r="B691" s="3024"/>
      <c r="C691" s="3024">
        <v>104</v>
      </c>
      <c r="D691" s="3024">
        <v>134.29</v>
      </c>
      <c r="E691" s="3024">
        <v>84.35</v>
      </c>
      <c r="F691" s="3024"/>
      <c r="G691" s="3024">
        <f t="shared" si="46"/>
        <v>218.64</v>
      </c>
      <c r="H691" s="3024"/>
      <c r="I691" s="3024"/>
      <c r="J691" s="3024">
        <f>J688</f>
        <v>108.67</v>
      </c>
      <c r="K691" s="3024">
        <f t="shared" si="47"/>
        <v>109.96999999999998</v>
      </c>
      <c r="L691" s="3024">
        <f t="shared" si="42"/>
        <v>218.64</v>
      </c>
      <c r="M691" s="3024"/>
    </row>
    <row r="692" spans="1:13">
      <c r="A692" s="3024"/>
      <c r="B692" s="3024"/>
      <c r="C692" s="3024">
        <v>105</v>
      </c>
      <c r="D692" s="3024">
        <v>134.28</v>
      </c>
      <c r="E692" s="3024">
        <v>84.49</v>
      </c>
      <c r="F692" s="3024"/>
      <c r="G692" s="3024">
        <f t="shared" si="46"/>
        <v>218.76999999999998</v>
      </c>
      <c r="H692" s="3024"/>
      <c r="I692" s="3024"/>
      <c r="J692" s="3024">
        <f>J688</f>
        <v>108.67</v>
      </c>
      <c r="K692" s="3024">
        <f t="shared" si="47"/>
        <v>110.09999999999998</v>
      </c>
      <c r="L692" s="3024">
        <f t="shared" si="42"/>
        <v>218.76999999999998</v>
      </c>
      <c r="M692" s="3024"/>
    </row>
    <row r="693" spans="1:13">
      <c r="A693" s="3024"/>
      <c r="B693" s="3024"/>
      <c r="C693" s="3024">
        <v>106</v>
      </c>
      <c r="D693" s="3024">
        <v>134.47</v>
      </c>
      <c r="E693" s="3024">
        <v>84.77</v>
      </c>
      <c r="F693" s="3024"/>
      <c r="G693" s="3024">
        <f t="shared" si="46"/>
        <v>219.24</v>
      </c>
      <c r="H693" s="3024"/>
      <c r="I693" s="3024"/>
      <c r="J693" s="3024">
        <v>108.66</v>
      </c>
      <c r="K693" s="3024">
        <f t="shared" si="47"/>
        <v>110.58000000000001</v>
      </c>
      <c r="L693" s="3024">
        <f t="shared" si="42"/>
        <v>219.24</v>
      </c>
      <c r="M693" s="3024"/>
    </row>
    <row r="694" spans="1:13">
      <c r="A694" s="3024" t="s">
        <v>3140</v>
      </c>
      <c r="B694" s="3024">
        <v>4</v>
      </c>
      <c r="C694" s="3024">
        <v>-201</v>
      </c>
      <c r="D694" s="3024"/>
      <c r="E694" s="3024">
        <v>83.57</v>
      </c>
      <c r="F694" s="3024"/>
      <c r="G694" s="3024">
        <f t="shared" si="46"/>
        <v>83.57</v>
      </c>
      <c r="H694" s="3024">
        <f>SUM(G694:G701)</f>
        <v>1212.72</v>
      </c>
      <c r="I694" s="3024"/>
      <c r="J694" s="3024"/>
      <c r="K694" s="3024">
        <f t="shared" si="47"/>
        <v>83.57</v>
      </c>
      <c r="L694" s="3024">
        <f t="shared" si="42"/>
        <v>83.57</v>
      </c>
      <c r="M694" s="3024"/>
    </row>
    <row r="695" spans="1:13">
      <c r="A695" s="3024"/>
      <c r="B695" s="3024"/>
      <c r="C695" s="3024">
        <v>-202</v>
      </c>
      <c r="D695" s="3024"/>
      <c r="E695" s="3024">
        <v>84.29</v>
      </c>
      <c r="F695" s="3024"/>
      <c r="G695" s="3024">
        <f t="shared" si="46"/>
        <v>84.29</v>
      </c>
      <c r="H695" s="3024"/>
      <c r="I695" s="3024"/>
      <c r="J695" s="3024"/>
      <c r="K695" s="3024">
        <f t="shared" si="47"/>
        <v>84.29</v>
      </c>
      <c r="L695" s="3024">
        <f t="shared" si="42"/>
        <v>84.29</v>
      </c>
      <c r="M695" s="3024"/>
    </row>
    <row r="696" spans="1:13">
      <c r="A696" s="3024"/>
      <c r="B696" s="3024"/>
      <c r="C696" s="3024">
        <v>-203</v>
      </c>
      <c r="D696" s="3024"/>
      <c r="E696" s="3024">
        <v>83.57</v>
      </c>
      <c r="F696" s="3024"/>
      <c r="G696" s="3024">
        <f t="shared" si="46"/>
        <v>83.57</v>
      </c>
      <c r="H696" s="3024"/>
      <c r="I696" s="3024"/>
      <c r="J696" s="3024"/>
      <c r="K696" s="3024">
        <f t="shared" si="47"/>
        <v>83.57</v>
      </c>
      <c r="L696" s="3024">
        <f t="shared" si="42"/>
        <v>83.57</v>
      </c>
      <c r="M696" s="3024"/>
    </row>
    <row r="697" spans="1:13">
      <c r="A697" s="3024"/>
      <c r="B697" s="3024"/>
      <c r="C697" s="3024">
        <v>-204</v>
      </c>
      <c r="D697" s="3024"/>
      <c r="E697" s="3024">
        <v>84.29</v>
      </c>
      <c r="F697" s="3024"/>
      <c r="G697" s="3024">
        <f t="shared" si="46"/>
        <v>84.29</v>
      </c>
      <c r="H697" s="3024"/>
      <c r="I697" s="3024"/>
      <c r="J697" s="3024"/>
      <c r="K697" s="3024">
        <f t="shared" si="47"/>
        <v>84.29</v>
      </c>
      <c r="L697" s="3024">
        <f t="shared" si="42"/>
        <v>84.29</v>
      </c>
      <c r="M697" s="3024"/>
    </row>
    <row r="698" spans="1:13">
      <c r="A698" s="3024"/>
      <c r="B698" s="3024"/>
      <c r="C698" s="3024">
        <v>101</v>
      </c>
      <c r="D698" s="3024">
        <v>134.47</v>
      </c>
      <c r="E698" s="3024">
        <v>84.48</v>
      </c>
      <c r="F698" s="3024"/>
      <c r="G698" s="3024">
        <f t="shared" si="46"/>
        <v>218.95</v>
      </c>
      <c r="H698" s="3024"/>
      <c r="I698" s="3024"/>
      <c r="J698" s="3024">
        <f>435.56/4</f>
        <v>108.89</v>
      </c>
      <c r="K698" s="3024">
        <f t="shared" si="47"/>
        <v>110.05999999999999</v>
      </c>
      <c r="L698" s="3024">
        <f t="shared" si="42"/>
        <v>218.95</v>
      </c>
      <c r="M698" s="3024">
        <f>SUM(J698:J701)</f>
        <v>435.56</v>
      </c>
    </row>
    <row r="699" spans="1:13">
      <c r="A699" s="3024"/>
      <c r="B699" s="3024"/>
      <c r="C699" s="3024">
        <v>102</v>
      </c>
      <c r="D699" s="3024">
        <v>134.66</v>
      </c>
      <c r="E699" s="3024">
        <v>84.89</v>
      </c>
      <c r="F699" s="3024"/>
      <c r="G699" s="3024">
        <f t="shared" si="46"/>
        <v>219.55</v>
      </c>
      <c r="H699" s="3024"/>
      <c r="I699" s="3024"/>
      <c r="J699" s="3024">
        <f>J698</f>
        <v>108.89</v>
      </c>
      <c r="K699" s="3024">
        <f t="shared" si="47"/>
        <v>110.66000000000001</v>
      </c>
      <c r="L699" s="3024">
        <f t="shared" si="42"/>
        <v>219.55</v>
      </c>
      <c r="M699" s="3024"/>
    </row>
    <row r="700" spans="1:13">
      <c r="A700" s="3024"/>
      <c r="B700" s="3024"/>
      <c r="C700" s="3024">
        <v>103</v>
      </c>
      <c r="D700" s="3024">
        <v>134.47</v>
      </c>
      <c r="E700" s="3024">
        <v>84.48</v>
      </c>
      <c r="F700" s="3024"/>
      <c r="G700" s="3024">
        <f t="shared" si="46"/>
        <v>218.95</v>
      </c>
      <c r="H700" s="3024"/>
      <c r="I700" s="3024"/>
      <c r="J700" s="3024">
        <f>J698</f>
        <v>108.89</v>
      </c>
      <c r="K700" s="3024">
        <f t="shared" si="47"/>
        <v>110.05999999999999</v>
      </c>
      <c r="L700" s="3024">
        <f t="shared" si="42"/>
        <v>218.95</v>
      </c>
      <c r="M700" s="3024"/>
    </row>
    <row r="701" spans="1:13">
      <c r="A701" s="3024"/>
      <c r="B701" s="3024"/>
      <c r="C701" s="3024">
        <v>104</v>
      </c>
      <c r="D701" s="3024">
        <v>134.66</v>
      </c>
      <c r="E701" s="3024">
        <v>84.89</v>
      </c>
      <c r="F701" s="3024"/>
      <c r="G701" s="3024">
        <f t="shared" si="46"/>
        <v>219.55</v>
      </c>
      <c r="H701" s="3024"/>
      <c r="I701" s="3024"/>
      <c r="J701" s="3024">
        <f>J698</f>
        <v>108.89</v>
      </c>
      <c r="K701" s="3024">
        <f t="shared" si="47"/>
        <v>110.66000000000001</v>
      </c>
      <c r="L701" s="3024">
        <f t="shared" si="42"/>
        <v>219.55</v>
      </c>
      <c r="M701" s="3024"/>
    </row>
    <row r="702" spans="1:13">
      <c r="A702" s="3024" t="s">
        <v>3141</v>
      </c>
      <c r="B702" s="3024">
        <v>4</v>
      </c>
      <c r="C702" s="3024">
        <v>-201</v>
      </c>
      <c r="D702" s="3024"/>
      <c r="E702" s="3024">
        <v>83.57</v>
      </c>
      <c r="F702" s="3024"/>
      <c r="G702" s="3024">
        <f t="shared" si="46"/>
        <v>83.57</v>
      </c>
      <c r="H702" s="3024">
        <f>SUM(G702:G709)</f>
        <v>1212.72</v>
      </c>
      <c r="I702" s="3024"/>
      <c r="J702" s="3024"/>
      <c r="K702" s="3024">
        <f t="shared" si="47"/>
        <v>83.57</v>
      </c>
      <c r="L702" s="3024">
        <f t="shared" si="42"/>
        <v>83.57</v>
      </c>
      <c r="M702" s="3024"/>
    </row>
    <row r="703" spans="1:13">
      <c r="A703" s="3024"/>
      <c r="B703" s="3024"/>
      <c r="C703" s="3024">
        <v>-202</v>
      </c>
      <c r="D703" s="3024"/>
      <c r="E703" s="3024">
        <v>84.29</v>
      </c>
      <c r="F703" s="3024"/>
      <c r="G703" s="3024">
        <f t="shared" si="46"/>
        <v>84.29</v>
      </c>
      <c r="H703" s="3024"/>
      <c r="I703" s="3024"/>
      <c r="J703" s="3024"/>
      <c r="K703" s="3024">
        <f t="shared" si="47"/>
        <v>84.29</v>
      </c>
      <c r="L703" s="3024">
        <f t="shared" si="42"/>
        <v>84.29</v>
      </c>
      <c r="M703" s="3024"/>
    </row>
    <row r="704" spans="1:13">
      <c r="A704" s="3024"/>
      <c r="B704" s="3024"/>
      <c r="C704" s="3024">
        <v>-203</v>
      </c>
      <c r="D704" s="3024"/>
      <c r="E704" s="3024">
        <v>83.57</v>
      </c>
      <c r="F704" s="3024"/>
      <c r="G704" s="3024">
        <f t="shared" si="46"/>
        <v>83.57</v>
      </c>
      <c r="H704" s="3024"/>
      <c r="I704" s="3024"/>
      <c r="J704" s="3024"/>
      <c r="K704" s="3024">
        <f t="shared" si="47"/>
        <v>83.57</v>
      </c>
      <c r="L704" s="3024">
        <f t="shared" si="42"/>
        <v>83.57</v>
      </c>
      <c r="M704" s="3024"/>
    </row>
    <row r="705" spans="1:13">
      <c r="A705" s="3024"/>
      <c r="B705" s="3024"/>
      <c r="C705" s="3024">
        <v>-204</v>
      </c>
      <c r="D705" s="3024"/>
      <c r="E705" s="3024">
        <v>84.29</v>
      </c>
      <c r="F705" s="3024"/>
      <c r="G705" s="3024">
        <f t="shared" si="46"/>
        <v>84.29</v>
      </c>
      <c r="H705" s="3024"/>
      <c r="I705" s="3024"/>
      <c r="J705" s="3024"/>
      <c r="K705" s="3024">
        <f t="shared" si="47"/>
        <v>84.29</v>
      </c>
      <c r="L705" s="3024">
        <f t="shared" si="42"/>
        <v>84.29</v>
      </c>
      <c r="M705" s="3024"/>
    </row>
    <row r="706" spans="1:13">
      <c r="A706" s="3024"/>
      <c r="B706" s="3024"/>
      <c r="C706" s="3024">
        <v>101</v>
      </c>
      <c r="D706" s="3024">
        <v>134.47</v>
      </c>
      <c r="E706" s="3024">
        <v>84.48</v>
      </c>
      <c r="F706" s="3024"/>
      <c r="G706" s="3024">
        <f t="shared" si="46"/>
        <v>218.95</v>
      </c>
      <c r="H706" s="3024"/>
      <c r="I706" s="3024"/>
      <c r="J706" s="3024">
        <f>J698</f>
        <v>108.89</v>
      </c>
      <c r="K706" s="3024">
        <f t="shared" si="47"/>
        <v>110.05999999999999</v>
      </c>
      <c r="L706" s="3024">
        <f t="shared" si="42"/>
        <v>218.95</v>
      </c>
      <c r="M706" s="3024">
        <f>SUM(J706:J709)</f>
        <v>435.56</v>
      </c>
    </row>
    <row r="707" spans="1:13">
      <c r="A707" s="3024"/>
      <c r="B707" s="3024"/>
      <c r="C707" s="3024">
        <v>102</v>
      </c>
      <c r="D707" s="3024">
        <v>134.66</v>
      </c>
      <c r="E707" s="3024">
        <v>84.89</v>
      </c>
      <c r="F707" s="3024"/>
      <c r="G707" s="3024">
        <f t="shared" si="46"/>
        <v>219.55</v>
      </c>
      <c r="H707" s="3024"/>
      <c r="I707" s="3024"/>
      <c r="J707" s="3024">
        <f>J706</f>
        <v>108.89</v>
      </c>
      <c r="K707" s="3024">
        <f t="shared" si="47"/>
        <v>110.66000000000001</v>
      </c>
      <c r="L707" s="3024">
        <f t="shared" si="42"/>
        <v>219.55</v>
      </c>
      <c r="M707" s="3024"/>
    </row>
    <row r="708" spans="1:13">
      <c r="A708" s="3024"/>
      <c r="B708" s="3024"/>
      <c r="C708" s="3024">
        <v>103</v>
      </c>
      <c r="D708" s="3024">
        <v>134.47</v>
      </c>
      <c r="E708" s="3024">
        <v>84.48</v>
      </c>
      <c r="F708" s="3024"/>
      <c r="G708" s="3024">
        <f t="shared" si="46"/>
        <v>218.95</v>
      </c>
      <c r="H708" s="3024"/>
      <c r="I708" s="3024"/>
      <c r="J708" s="3024">
        <f>J706</f>
        <v>108.89</v>
      </c>
      <c r="K708" s="3024">
        <f t="shared" si="47"/>
        <v>110.05999999999999</v>
      </c>
      <c r="L708" s="3024">
        <f t="shared" si="42"/>
        <v>218.95</v>
      </c>
      <c r="M708" s="3024"/>
    </row>
    <row r="709" spans="1:13">
      <c r="A709" s="3024"/>
      <c r="B709" s="3024"/>
      <c r="C709" s="3024">
        <v>104</v>
      </c>
      <c r="D709" s="3024">
        <v>134.66</v>
      </c>
      <c r="E709" s="3024">
        <v>84.89</v>
      </c>
      <c r="F709" s="3024"/>
      <c r="G709" s="3024">
        <f t="shared" si="46"/>
        <v>219.55</v>
      </c>
      <c r="H709" s="3024"/>
      <c r="I709" s="3024"/>
      <c r="J709" s="3024">
        <f>J706</f>
        <v>108.89</v>
      </c>
      <c r="K709" s="3024">
        <f t="shared" si="47"/>
        <v>110.66000000000001</v>
      </c>
      <c r="L709" s="3024">
        <f t="shared" si="42"/>
        <v>219.55</v>
      </c>
      <c r="M709" s="3024"/>
    </row>
    <row r="710" spans="1:13">
      <c r="A710" s="3024" t="s">
        <v>3142</v>
      </c>
      <c r="B710" s="3024">
        <v>6</v>
      </c>
      <c r="C710" s="3024">
        <v>-201</v>
      </c>
      <c r="D710" s="3024"/>
      <c r="E710" s="3024">
        <v>83.43</v>
      </c>
      <c r="F710" s="3024"/>
      <c r="G710" s="3024">
        <f t="shared" si="46"/>
        <v>83.43</v>
      </c>
      <c r="H710" s="3024">
        <f>SUM(G710:G721)</f>
        <v>1815.6799999999998</v>
      </c>
      <c r="I710" s="3024"/>
      <c r="J710" s="3024"/>
      <c r="K710" s="3024">
        <f t="shared" si="47"/>
        <v>83.43</v>
      </c>
      <c r="L710" s="3024">
        <f t="shared" si="42"/>
        <v>83.43</v>
      </c>
      <c r="M710" s="3024"/>
    </row>
    <row r="711" spans="1:13">
      <c r="A711" s="3024"/>
      <c r="B711" s="3024"/>
      <c r="C711" s="3024">
        <v>-202</v>
      </c>
      <c r="D711" s="3024"/>
      <c r="E711" s="3024">
        <v>84.15</v>
      </c>
      <c r="F711" s="3024"/>
      <c r="G711" s="3024">
        <f t="shared" si="46"/>
        <v>84.15</v>
      </c>
      <c r="H711" s="3024"/>
      <c r="I711" s="3024"/>
      <c r="J711" s="3024"/>
      <c r="K711" s="3024">
        <f t="shared" si="47"/>
        <v>84.15</v>
      </c>
      <c r="L711" s="3024">
        <f t="shared" si="42"/>
        <v>84.15</v>
      </c>
      <c r="M711" s="3024"/>
    </row>
    <row r="712" spans="1:13">
      <c r="A712" s="3024"/>
      <c r="B712" s="3024"/>
      <c r="C712" s="3024">
        <v>-203</v>
      </c>
      <c r="D712" s="3024"/>
      <c r="E712" s="3024">
        <v>84.15</v>
      </c>
      <c r="F712" s="3024"/>
      <c r="G712" s="3024">
        <f t="shared" si="46"/>
        <v>84.15</v>
      </c>
      <c r="H712" s="3024"/>
      <c r="I712" s="3024"/>
      <c r="J712" s="3024"/>
      <c r="K712" s="3024">
        <f t="shared" si="47"/>
        <v>84.15</v>
      </c>
      <c r="L712" s="3024">
        <f t="shared" si="42"/>
        <v>84.15</v>
      </c>
      <c r="M712" s="3024"/>
    </row>
    <row r="713" spans="1:13">
      <c r="A713" s="3024"/>
      <c r="B713" s="3024"/>
      <c r="C713" s="3024">
        <v>-204</v>
      </c>
      <c r="D713" s="3024"/>
      <c r="E713" s="3024">
        <v>83.43</v>
      </c>
      <c r="F713" s="3024"/>
      <c r="G713" s="3024">
        <f t="shared" si="46"/>
        <v>83.43</v>
      </c>
      <c r="H713" s="3024"/>
      <c r="I713" s="3024"/>
      <c r="J713" s="3024"/>
      <c r="K713" s="3024">
        <f t="shared" si="47"/>
        <v>83.43</v>
      </c>
      <c r="L713" s="3024">
        <f t="shared" si="42"/>
        <v>83.43</v>
      </c>
      <c r="M713" s="3024"/>
    </row>
    <row r="714" spans="1:13">
      <c r="A714" s="3024"/>
      <c r="B714" s="3024"/>
      <c r="C714" s="3024">
        <v>-205</v>
      </c>
      <c r="D714" s="3024"/>
      <c r="E714" s="3024">
        <v>84.15</v>
      </c>
      <c r="F714" s="3024"/>
      <c r="G714" s="3024">
        <f t="shared" si="46"/>
        <v>84.15</v>
      </c>
      <c r="H714" s="3024"/>
      <c r="I714" s="3024"/>
      <c r="J714" s="3024"/>
      <c r="K714" s="3024">
        <f t="shared" si="47"/>
        <v>84.15</v>
      </c>
      <c r="L714" s="3024">
        <f t="shared" si="42"/>
        <v>84.15</v>
      </c>
      <c r="M714" s="3024"/>
    </row>
    <row r="715" spans="1:13">
      <c r="A715" s="3024"/>
      <c r="B715" s="3024"/>
      <c r="C715" s="3024">
        <v>-206</v>
      </c>
      <c r="D715" s="3024"/>
      <c r="E715" s="3024">
        <v>84.15</v>
      </c>
      <c r="F715" s="3024"/>
      <c r="G715" s="3024">
        <f t="shared" si="46"/>
        <v>84.15</v>
      </c>
      <c r="H715" s="3024"/>
      <c r="I715" s="3024"/>
      <c r="J715" s="3024"/>
      <c r="K715" s="3024">
        <f t="shared" si="47"/>
        <v>84.15</v>
      </c>
      <c r="L715" s="3024">
        <f t="shared" si="42"/>
        <v>84.15</v>
      </c>
      <c r="M715" s="3024"/>
    </row>
    <row r="716" spans="1:13">
      <c r="A716" s="3024"/>
      <c r="B716" s="3024"/>
      <c r="C716" s="3024">
        <v>101</v>
      </c>
      <c r="D716" s="3024">
        <v>134.18</v>
      </c>
      <c r="E716" s="3024">
        <v>84.28</v>
      </c>
      <c r="F716" s="3024"/>
      <c r="G716" s="3024">
        <f t="shared" si="46"/>
        <v>218.46</v>
      </c>
      <c r="H716" s="3024"/>
      <c r="I716" s="3024"/>
      <c r="J716" s="3024">
        <f>J688</f>
        <v>108.67</v>
      </c>
      <c r="K716" s="3024">
        <f t="shared" si="47"/>
        <v>109.79</v>
      </c>
      <c r="L716" s="3024">
        <f t="shared" si="42"/>
        <v>218.46</v>
      </c>
      <c r="M716" s="3024">
        <f>SUM(J716:J721)</f>
        <v>652.01</v>
      </c>
    </row>
    <row r="717" spans="1:13">
      <c r="A717" s="3024"/>
      <c r="B717" s="3024"/>
      <c r="C717" s="3024">
        <v>102</v>
      </c>
      <c r="D717" s="3024">
        <v>134.16999999999999</v>
      </c>
      <c r="E717" s="3024">
        <v>84.42</v>
      </c>
      <c r="F717" s="3024"/>
      <c r="G717" s="3024">
        <f t="shared" si="46"/>
        <v>218.58999999999997</v>
      </c>
      <c r="H717" s="3024"/>
      <c r="I717" s="3024"/>
      <c r="J717" s="3024">
        <f>J716</f>
        <v>108.67</v>
      </c>
      <c r="K717" s="3024">
        <f t="shared" si="47"/>
        <v>109.91999999999997</v>
      </c>
      <c r="L717" s="3024">
        <f t="shared" si="42"/>
        <v>218.58999999999997</v>
      </c>
      <c r="M717" s="3024"/>
    </row>
    <row r="718" spans="1:13">
      <c r="A718" s="3024"/>
      <c r="B718" s="3024"/>
      <c r="C718" s="3024">
        <v>103</v>
      </c>
      <c r="D718" s="3024">
        <v>134.36000000000001</v>
      </c>
      <c r="E718" s="3024">
        <v>84.7</v>
      </c>
      <c r="F718" s="3024"/>
      <c r="G718" s="3024">
        <f t="shared" si="46"/>
        <v>219.06</v>
      </c>
      <c r="H718" s="3024"/>
      <c r="I718" s="3024"/>
      <c r="J718" s="3024">
        <f>J716</f>
        <v>108.67</v>
      </c>
      <c r="K718" s="3024">
        <f t="shared" si="47"/>
        <v>110.39</v>
      </c>
      <c r="L718" s="3024">
        <f t="shared" si="42"/>
        <v>219.06</v>
      </c>
      <c r="M718" s="3024"/>
    </row>
    <row r="719" spans="1:13">
      <c r="A719" s="3024"/>
      <c r="B719" s="3024"/>
      <c r="C719" s="3024">
        <v>104</v>
      </c>
      <c r="D719" s="3024">
        <v>134.18</v>
      </c>
      <c r="E719" s="3024">
        <v>84.28</v>
      </c>
      <c r="F719" s="3024"/>
      <c r="G719" s="3024">
        <f t="shared" si="46"/>
        <v>218.46</v>
      </c>
      <c r="H719" s="3024"/>
      <c r="I719" s="3024"/>
      <c r="J719" s="3024">
        <f>J716</f>
        <v>108.67</v>
      </c>
      <c r="K719" s="3024">
        <f t="shared" si="47"/>
        <v>109.79</v>
      </c>
      <c r="L719" s="3024">
        <f t="shared" si="42"/>
        <v>218.46</v>
      </c>
      <c r="M719" s="3024"/>
    </row>
    <row r="720" spans="1:13">
      <c r="A720" s="3024"/>
      <c r="B720" s="3024"/>
      <c r="C720" s="3024">
        <v>105</v>
      </c>
      <c r="D720" s="3024">
        <v>134.16999999999999</v>
      </c>
      <c r="E720" s="3024">
        <v>84.42</v>
      </c>
      <c r="F720" s="3024"/>
      <c r="G720" s="3024">
        <f t="shared" si="46"/>
        <v>218.58999999999997</v>
      </c>
      <c r="H720" s="3024"/>
      <c r="I720" s="3024"/>
      <c r="J720" s="3024">
        <f>J716</f>
        <v>108.67</v>
      </c>
      <c r="K720" s="3024">
        <f t="shared" si="47"/>
        <v>109.91999999999997</v>
      </c>
      <c r="L720" s="3024">
        <f t="shared" si="42"/>
        <v>218.58999999999997</v>
      </c>
      <c r="M720" s="3024"/>
    </row>
    <row r="721" spans="1:13">
      <c r="A721" s="3024"/>
      <c r="B721" s="3024"/>
      <c r="C721" s="3024">
        <v>106</v>
      </c>
      <c r="D721" s="3024">
        <v>134.36000000000001</v>
      </c>
      <c r="E721" s="3024">
        <v>84.7</v>
      </c>
      <c r="F721" s="3024"/>
      <c r="G721" s="3024">
        <f t="shared" si="46"/>
        <v>219.06</v>
      </c>
      <c r="H721" s="3024"/>
      <c r="I721" s="3024"/>
      <c r="J721" s="3024">
        <v>108.66</v>
      </c>
      <c r="K721" s="3024">
        <f t="shared" si="47"/>
        <v>110.4</v>
      </c>
      <c r="L721" s="3024">
        <f t="shared" si="42"/>
        <v>219.06</v>
      </c>
      <c r="M721" s="3024"/>
    </row>
    <row r="722" spans="1:13">
      <c r="A722" s="3024" t="s">
        <v>3143</v>
      </c>
      <c r="B722" s="3024">
        <v>6</v>
      </c>
      <c r="C722" s="3024">
        <v>-201</v>
      </c>
      <c r="D722" s="3024"/>
      <c r="E722" s="3024">
        <v>83.46</v>
      </c>
      <c r="F722" s="3024"/>
      <c r="G722" s="3024">
        <f t="shared" si="46"/>
        <v>83.46</v>
      </c>
      <c r="H722" s="3024">
        <f>SUM(G722:G733)</f>
        <v>1817.5199999999998</v>
      </c>
      <c r="I722" s="3024"/>
      <c r="J722" s="3024"/>
      <c r="K722" s="3024">
        <f t="shared" si="47"/>
        <v>83.46</v>
      </c>
      <c r="L722" s="3024">
        <f t="shared" si="42"/>
        <v>83.46</v>
      </c>
      <c r="M722" s="3024"/>
    </row>
    <row r="723" spans="1:13">
      <c r="A723" s="3024"/>
      <c r="B723" s="3024"/>
      <c r="C723" s="3024">
        <v>-202</v>
      </c>
      <c r="D723" s="3024"/>
      <c r="E723" s="3024">
        <v>84.18</v>
      </c>
      <c r="F723" s="3024"/>
      <c r="G723" s="3024">
        <f t="shared" si="46"/>
        <v>84.18</v>
      </c>
      <c r="H723" s="3024"/>
      <c r="I723" s="3024"/>
      <c r="J723" s="3024"/>
      <c r="K723" s="3024">
        <f t="shared" si="47"/>
        <v>84.18</v>
      </c>
      <c r="L723" s="3024">
        <f t="shared" si="42"/>
        <v>84.18</v>
      </c>
      <c r="M723" s="3024"/>
    </row>
    <row r="724" spans="1:13">
      <c r="A724" s="3024"/>
      <c r="B724" s="3024"/>
      <c r="C724" s="3024">
        <v>-203</v>
      </c>
      <c r="D724" s="3024"/>
      <c r="E724" s="3024">
        <v>84.18</v>
      </c>
      <c r="F724" s="3024"/>
      <c r="G724" s="3024">
        <f t="shared" si="46"/>
        <v>84.18</v>
      </c>
      <c r="H724" s="3024"/>
      <c r="I724" s="3024"/>
      <c r="J724" s="3024"/>
      <c r="K724" s="3024">
        <f t="shared" si="47"/>
        <v>84.18</v>
      </c>
      <c r="L724" s="3024">
        <f t="shared" si="42"/>
        <v>84.18</v>
      </c>
      <c r="M724" s="3024"/>
    </row>
    <row r="725" spans="1:13">
      <c r="A725" s="3024"/>
      <c r="B725" s="3024"/>
      <c r="C725" s="3024">
        <v>-204</v>
      </c>
      <c r="D725" s="3024"/>
      <c r="E725" s="3024">
        <v>83.46</v>
      </c>
      <c r="F725" s="3024"/>
      <c r="G725" s="3024">
        <f t="shared" si="46"/>
        <v>83.46</v>
      </c>
      <c r="H725" s="3024"/>
      <c r="I725" s="3024"/>
      <c r="J725" s="3024"/>
      <c r="K725" s="3024">
        <f t="shared" si="47"/>
        <v>83.46</v>
      </c>
      <c r="L725" s="3024">
        <f t="shared" si="42"/>
        <v>83.46</v>
      </c>
      <c r="M725" s="3024"/>
    </row>
    <row r="726" spans="1:13">
      <c r="A726" s="3024"/>
      <c r="B726" s="3024"/>
      <c r="C726" s="3024">
        <v>-205</v>
      </c>
      <c r="D726" s="3024"/>
      <c r="E726" s="3024">
        <v>84.18</v>
      </c>
      <c r="F726" s="3024"/>
      <c r="G726" s="3024">
        <f t="shared" si="46"/>
        <v>84.18</v>
      </c>
      <c r="H726" s="3024"/>
      <c r="I726" s="3024"/>
      <c r="J726" s="3024"/>
      <c r="K726" s="3024">
        <f t="shared" si="47"/>
        <v>84.18</v>
      </c>
      <c r="L726" s="3024">
        <f t="shared" si="42"/>
        <v>84.18</v>
      </c>
      <c r="M726" s="3024"/>
    </row>
    <row r="727" spans="1:13">
      <c r="A727" s="3024"/>
      <c r="B727" s="3024"/>
      <c r="C727" s="3024">
        <v>-206</v>
      </c>
      <c r="D727" s="3024"/>
      <c r="E727" s="3024">
        <v>84.18</v>
      </c>
      <c r="F727" s="3024"/>
      <c r="G727" s="3024">
        <f t="shared" si="46"/>
        <v>84.18</v>
      </c>
      <c r="H727" s="3024"/>
      <c r="I727" s="3024"/>
      <c r="J727" s="3024"/>
      <c r="K727" s="3024">
        <f t="shared" si="47"/>
        <v>84.18</v>
      </c>
      <c r="L727" s="3024">
        <f t="shared" si="42"/>
        <v>84.18</v>
      </c>
      <c r="M727" s="3024"/>
    </row>
    <row r="728" spans="1:13">
      <c r="A728" s="3024"/>
      <c r="B728" s="3024"/>
      <c r="C728" s="3024">
        <v>101</v>
      </c>
      <c r="D728" s="3024">
        <v>134.34</v>
      </c>
      <c r="E728" s="3024">
        <v>84.39</v>
      </c>
      <c r="F728" s="3024"/>
      <c r="G728" s="3024">
        <f t="shared" si="46"/>
        <v>218.73000000000002</v>
      </c>
      <c r="H728" s="3024"/>
      <c r="I728" s="3024"/>
      <c r="J728" s="3024">
        <f t="shared" ref="J728:J733" si="48">J716</f>
        <v>108.67</v>
      </c>
      <c r="K728" s="3024">
        <f t="shared" si="47"/>
        <v>110.06000000000002</v>
      </c>
      <c r="L728" s="3024">
        <f t="shared" si="42"/>
        <v>218.73000000000002</v>
      </c>
      <c r="M728" s="3024">
        <f>SUM(J728:J733)</f>
        <v>652.01</v>
      </c>
    </row>
    <row r="729" spans="1:13">
      <c r="A729" s="3024"/>
      <c r="B729" s="3024"/>
      <c r="C729" s="3024">
        <v>102</v>
      </c>
      <c r="D729" s="3024">
        <v>134.34</v>
      </c>
      <c r="E729" s="3024">
        <v>84.53</v>
      </c>
      <c r="F729" s="3024"/>
      <c r="G729" s="3024">
        <f t="shared" si="46"/>
        <v>218.87</v>
      </c>
      <c r="H729" s="3024"/>
      <c r="I729" s="3024"/>
      <c r="J729" s="3024">
        <f t="shared" si="48"/>
        <v>108.67</v>
      </c>
      <c r="K729" s="3024">
        <f t="shared" si="47"/>
        <v>110.2</v>
      </c>
      <c r="L729" s="3024">
        <f t="shared" si="42"/>
        <v>218.87</v>
      </c>
      <c r="M729" s="3024"/>
    </row>
    <row r="730" spans="1:13">
      <c r="A730" s="3024"/>
      <c r="B730" s="3024"/>
      <c r="C730" s="3024">
        <v>103</v>
      </c>
      <c r="D730" s="3024">
        <v>134.54</v>
      </c>
      <c r="E730" s="3024">
        <v>84.8</v>
      </c>
      <c r="F730" s="3024"/>
      <c r="G730" s="3024">
        <f t="shared" si="46"/>
        <v>219.33999999999997</v>
      </c>
      <c r="H730" s="3024"/>
      <c r="I730" s="3024"/>
      <c r="J730" s="3024">
        <f t="shared" si="48"/>
        <v>108.67</v>
      </c>
      <c r="K730" s="3024">
        <f t="shared" si="47"/>
        <v>110.66999999999997</v>
      </c>
      <c r="L730" s="3024">
        <f t="shared" si="42"/>
        <v>219.33999999999997</v>
      </c>
      <c r="M730" s="3024"/>
    </row>
    <row r="731" spans="1:13">
      <c r="A731" s="3024"/>
      <c r="B731" s="3024"/>
      <c r="C731" s="3024">
        <v>104</v>
      </c>
      <c r="D731" s="3024">
        <v>134.34</v>
      </c>
      <c r="E731" s="3024">
        <v>84.39</v>
      </c>
      <c r="F731" s="3024"/>
      <c r="G731" s="3024">
        <f t="shared" si="46"/>
        <v>218.73000000000002</v>
      </c>
      <c r="H731" s="3024"/>
      <c r="I731" s="3024"/>
      <c r="J731" s="3024">
        <f t="shared" si="48"/>
        <v>108.67</v>
      </c>
      <c r="K731" s="3024">
        <f t="shared" si="47"/>
        <v>110.06000000000002</v>
      </c>
      <c r="L731" s="3024">
        <f t="shared" si="42"/>
        <v>218.73000000000002</v>
      </c>
      <c r="M731" s="3024"/>
    </row>
    <row r="732" spans="1:13">
      <c r="A732" s="3024"/>
      <c r="B732" s="3024"/>
      <c r="C732" s="3024">
        <v>105</v>
      </c>
      <c r="D732" s="3024">
        <v>134.34</v>
      </c>
      <c r="E732" s="3024">
        <v>84.53</v>
      </c>
      <c r="F732" s="3024"/>
      <c r="G732" s="3024">
        <f t="shared" si="46"/>
        <v>218.87</v>
      </c>
      <c r="H732" s="3024"/>
      <c r="I732" s="3024"/>
      <c r="J732" s="3024">
        <f t="shared" si="48"/>
        <v>108.67</v>
      </c>
      <c r="K732" s="3024">
        <f t="shared" si="47"/>
        <v>110.2</v>
      </c>
      <c r="L732" s="3024">
        <f t="shared" si="42"/>
        <v>218.87</v>
      </c>
      <c r="M732" s="3024"/>
    </row>
    <row r="733" spans="1:13">
      <c r="A733" s="3024"/>
      <c r="B733" s="3024"/>
      <c r="C733" s="3024">
        <v>106</v>
      </c>
      <c r="D733" s="3024">
        <v>134.54</v>
      </c>
      <c r="E733" s="3024">
        <v>84.8</v>
      </c>
      <c r="F733" s="3024"/>
      <c r="G733" s="3024">
        <f t="shared" si="46"/>
        <v>219.33999999999997</v>
      </c>
      <c r="H733" s="3024"/>
      <c r="I733" s="3024"/>
      <c r="J733" s="3024">
        <f t="shared" si="48"/>
        <v>108.66</v>
      </c>
      <c r="K733" s="3024">
        <f t="shared" si="47"/>
        <v>110.67999999999998</v>
      </c>
      <c r="L733" s="3024">
        <f t="shared" si="42"/>
        <v>219.33999999999997</v>
      </c>
      <c r="M733" s="3024"/>
    </row>
    <row r="734" spans="1:13">
      <c r="A734" s="3024" t="s">
        <v>3144</v>
      </c>
      <c r="B734" s="3024">
        <v>4</v>
      </c>
      <c r="C734" s="3024">
        <v>-201</v>
      </c>
      <c r="D734" s="3024"/>
      <c r="E734" s="3024">
        <v>83.6</v>
      </c>
      <c r="F734" s="3024"/>
      <c r="G734" s="3024">
        <f t="shared" si="46"/>
        <v>83.6</v>
      </c>
      <c r="H734" s="3024">
        <f>SUM(G734:G741)</f>
        <v>1213.9399999999998</v>
      </c>
      <c r="I734" s="3024"/>
      <c r="J734" s="3024"/>
      <c r="K734" s="3024">
        <f t="shared" si="47"/>
        <v>83.6</v>
      </c>
      <c r="L734" s="3024">
        <f t="shared" si="42"/>
        <v>83.6</v>
      </c>
      <c r="M734" s="3024"/>
    </row>
    <row r="735" spans="1:13">
      <c r="A735" s="3024"/>
      <c r="B735" s="3024"/>
      <c r="C735" s="3024">
        <v>-202</v>
      </c>
      <c r="D735" s="3024"/>
      <c r="E735" s="3024">
        <v>84.32</v>
      </c>
      <c r="F735" s="3024"/>
      <c r="G735" s="3024">
        <f t="shared" si="46"/>
        <v>84.32</v>
      </c>
      <c r="H735" s="3024"/>
      <c r="I735" s="3024"/>
      <c r="J735" s="3024"/>
      <c r="K735" s="3024">
        <f t="shared" si="47"/>
        <v>84.32</v>
      </c>
      <c r="L735" s="3024">
        <f t="shared" si="42"/>
        <v>84.32</v>
      </c>
      <c r="M735" s="3024"/>
    </row>
    <row r="736" spans="1:13">
      <c r="A736" s="3024"/>
      <c r="B736" s="3024"/>
      <c r="C736" s="3024">
        <v>-203</v>
      </c>
      <c r="D736" s="3024"/>
      <c r="E736" s="3024">
        <v>83.6</v>
      </c>
      <c r="F736" s="3024"/>
      <c r="G736" s="3024">
        <f t="shared" si="46"/>
        <v>83.6</v>
      </c>
      <c r="H736" s="3024"/>
      <c r="I736" s="3024"/>
      <c r="J736" s="3024"/>
      <c r="K736" s="3024">
        <f t="shared" si="47"/>
        <v>83.6</v>
      </c>
      <c r="L736" s="3024">
        <f t="shared" si="42"/>
        <v>83.6</v>
      </c>
      <c r="M736" s="3024"/>
    </row>
    <row r="737" spans="1:13">
      <c r="A737" s="3024"/>
      <c r="B737" s="3024"/>
      <c r="C737" s="3024">
        <v>-204</v>
      </c>
      <c r="D737" s="3024"/>
      <c r="E737" s="3024">
        <v>84.32</v>
      </c>
      <c r="F737" s="3024"/>
      <c r="G737" s="3024">
        <f t="shared" si="46"/>
        <v>84.32</v>
      </c>
      <c r="H737" s="3024"/>
      <c r="I737" s="3024"/>
      <c r="J737" s="3024"/>
      <c r="K737" s="3024">
        <f t="shared" si="47"/>
        <v>84.32</v>
      </c>
      <c r="L737" s="3024">
        <f t="shared" si="42"/>
        <v>84.32</v>
      </c>
      <c r="M737" s="3024"/>
    </row>
    <row r="738" spans="1:13">
      <c r="A738" s="3024"/>
      <c r="B738" s="3024"/>
      <c r="C738" s="3024">
        <v>101</v>
      </c>
      <c r="D738" s="3024">
        <v>134.63999999999999</v>
      </c>
      <c r="E738" s="3024">
        <v>84.58</v>
      </c>
      <c r="F738" s="3024"/>
      <c r="G738" s="3024">
        <f t="shared" si="46"/>
        <v>219.21999999999997</v>
      </c>
      <c r="H738" s="3024"/>
      <c r="I738" s="3024"/>
      <c r="J738" s="3024">
        <f>J698</f>
        <v>108.89</v>
      </c>
      <c r="K738" s="3024">
        <f t="shared" si="47"/>
        <v>110.32999999999997</v>
      </c>
      <c r="L738" s="3024">
        <f t="shared" si="42"/>
        <v>219.21999999999997</v>
      </c>
      <c r="M738" s="3024">
        <f>J738+J739+J740+J741</f>
        <v>435.56</v>
      </c>
    </row>
    <row r="739" spans="1:13">
      <c r="A739" s="3024"/>
      <c r="B739" s="3024"/>
      <c r="C739" s="3024">
        <v>102</v>
      </c>
      <c r="D739" s="3024">
        <v>134.83000000000001</v>
      </c>
      <c r="E739" s="3024">
        <v>85</v>
      </c>
      <c r="F739" s="3024"/>
      <c r="G739" s="3024">
        <f t="shared" ref="G739:G802" si="49">SUM(D739:F739)</f>
        <v>219.83</v>
      </c>
      <c r="H739" s="3024"/>
      <c r="I739" s="3024"/>
      <c r="J739" s="3024">
        <f>J738</f>
        <v>108.89</v>
      </c>
      <c r="K739" s="3024">
        <f t="shared" si="47"/>
        <v>110.94000000000001</v>
      </c>
      <c r="L739" s="3024">
        <f t="shared" si="42"/>
        <v>219.83</v>
      </c>
      <c r="M739" s="3024"/>
    </row>
    <row r="740" spans="1:13">
      <c r="A740" s="3024"/>
      <c r="B740" s="3024"/>
      <c r="C740" s="3024">
        <v>103</v>
      </c>
      <c r="D740" s="3024">
        <v>134.63999999999999</v>
      </c>
      <c r="E740" s="3024">
        <v>84.58</v>
      </c>
      <c r="F740" s="3024"/>
      <c r="G740" s="3024">
        <f t="shared" si="49"/>
        <v>219.21999999999997</v>
      </c>
      <c r="H740" s="3024"/>
      <c r="I740" s="3024"/>
      <c r="J740" s="3024">
        <f>J738</f>
        <v>108.89</v>
      </c>
      <c r="K740" s="3024">
        <f t="shared" si="47"/>
        <v>110.32999999999997</v>
      </c>
      <c r="L740" s="3024">
        <f t="shared" si="42"/>
        <v>219.21999999999997</v>
      </c>
      <c r="M740" s="3024"/>
    </row>
    <row r="741" spans="1:13">
      <c r="A741" s="3024"/>
      <c r="B741" s="3024"/>
      <c r="C741" s="3024">
        <v>104</v>
      </c>
      <c r="D741" s="3024">
        <v>134.83000000000001</v>
      </c>
      <c r="E741" s="3024">
        <v>85</v>
      </c>
      <c r="F741" s="3024"/>
      <c r="G741" s="3024">
        <f t="shared" si="49"/>
        <v>219.83</v>
      </c>
      <c r="H741" s="3024"/>
      <c r="I741" s="3024"/>
      <c r="J741" s="3024">
        <f>J738</f>
        <v>108.89</v>
      </c>
      <c r="K741" s="3024">
        <f t="shared" si="47"/>
        <v>110.94000000000001</v>
      </c>
      <c r="L741" s="3024">
        <f t="shared" si="42"/>
        <v>219.83</v>
      </c>
      <c r="M741" s="3024"/>
    </row>
    <row r="742" spans="1:13">
      <c r="A742" s="3024" t="s">
        <v>3145</v>
      </c>
      <c r="B742" s="3024">
        <v>6</v>
      </c>
      <c r="C742" s="3024">
        <v>-201</v>
      </c>
      <c r="D742" s="3024"/>
      <c r="E742" s="3024">
        <v>83.44</v>
      </c>
      <c r="F742" s="3024"/>
      <c r="G742" s="3024">
        <f t="shared" si="49"/>
        <v>83.44</v>
      </c>
      <c r="H742" s="3024">
        <f>SUM(G742:G753)</f>
        <v>1816.0399999999997</v>
      </c>
      <c r="I742" s="3024"/>
      <c r="J742" s="3024"/>
      <c r="K742" s="3024">
        <f t="shared" si="47"/>
        <v>83.44</v>
      </c>
      <c r="L742" s="3024">
        <f t="shared" si="42"/>
        <v>83.44</v>
      </c>
      <c r="M742" s="3024"/>
    </row>
    <row r="743" spans="1:13">
      <c r="A743" s="3024"/>
      <c r="B743" s="3024"/>
      <c r="C743" s="3024">
        <v>-202</v>
      </c>
      <c r="D743" s="3024"/>
      <c r="E743" s="3024">
        <v>84.16</v>
      </c>
      <c r="F743" s="3024"/>
      <c r="G743" s="3024">
        <f t="shared" si="49"/>
        <v>84.16</v>
      </c>
      <c r="H743" s="3024"/>
      <c r="I743" s="3024"/>
      <c r="J743" s="3024"/>
      <c r="K743" s="3024">
        <f t="shared" si="47"/>
        <v>84.16</v>
      </c>
      <c r="L743" s="3024">
        <f t="shared" si="42"/>
        <v>84.16</v>
      </c>
      <c r="M743" s="3024"/>
    </row>
    <row r="744" spans="1:13">
      <c r="A744" s="3024"/>
      <c r="B744" s="3024"/>
      <c r="C744" s="3024">
        <v>-203</v>
      </c>
      <c r="D744" s="3024"/>
      <c r="E744" s="3024">
        <v>84.16</v>
      </c>
      <c r="F744" s="3024"/>
      <c r="G744" s="3024">
        <f t="shared" si="49"/>
        <v>84.16</v>
      </c>
      <c r="H744" s="3024"/>
      <c r="I744" s="3024"/>
      <c r="J744" s="3024"/>
      <c r="K744" s="3024">
        <f t="shared" si="47"/>
        <v>84.16</v>
      </c>
      <c r="L744" s="3024">
        <f t="shared" si="42"/>
        <v>84.16</v>
      </c>
      <c r="M744" s="3024"/>
    </row>
    <row r="745" spans="1:13">
      <c r="A745" s="3024"/>
      <c r="B745" s="3024"/>
      <c r="C745" s="3024">
        <v>-204</v>
      </c>
      <c r="D745" s="3024"/>
      <c r="E745" s="3024">
        <v>83.44</v>
      </c>
      <c r="F745" s="3024"/>
      <c r="G745" s="3024">
        <f t="shared" si="49"/>
        <v>83.44</v>
      </c>
      <c r="H745" s="3024"/>
      <c r="I745" s="3024"/>
      <c r="J745" s="3024"/>
      <c r="K745" s="3024">
        <f t="shared" si="47"/>
        <v>83.44</v>
      </c>
      <c r="L745" s="3024">
        <f t="shared" si="42"/>
        <v>83.44</v>
      </c>
      <c r="M745" s="3024"/>
    </row>
    <row r="746" spans="1:13">
      <c r="A746" s="3024"/>
      <c r="B746" s="3024"/>
      <c r="C746" s="3024">
        <v>-205</v>
      </c>
      <c r="D746" s="3024"/>
      <c r="E746" s="3024">
        <v>84.16</v>
      </c>
      <c r="F746" s="3024"/>
      <c r="G746" s="3024">
        <f t="shared" si="49"/>
        <v>84.16</v>
      </c>
      <c r="H746" s="3024"/>
      <c r="I746" s="3024"/>
      <c r="J746" s="3024"/>
      <c r="K746" s="3024">
        <f t="shared" ref="K746:K809" si="50">G746-J746</f>
        <v>84.16</v>
      </c>
      <c r="L746" s="3024">
        <f t="shared" si="42"/>
        <v>84.16</v>
      </c>
      <c r="M746" s="3024"/>
    </row>
    <row r="747" spans="1:13">
      <c r="A747" s="3024"/>
      <c r="B747" s="3024"/>
      <c r="C747" s="3024">
        <v>-206</v>
      </c>
      <c r="D747" s="3024"/>
      <c r="E747" s="3024">
        <v>84.16</v>
      </c>
      <c r="F747" s="3024"/>
      <c r="G747" s="3024">
        <f t="shared" si="49"/>
        <v>84.16</v>
      </c>
      <c r="H747" s="3024"/>
      <c r="I747" s="3024"/>
      <c r="J747" s="3024"/>
      <c r="K747" s="3024">
        <f t="shared" si="50"/>
        <v>84.16</v>
      </c>
      <c r="L747" s="3024">
        <f t="shared" si="42"/>
        <v>84.16</v>
      </c>
      <c r="M747" s="3024"/>
    </row>
    <row r="748" spans="1:13">
      <c r="A748" s="3024"/>
      <c r="B748" s="3024"/>
      <c r="C748" s="3024">
        <v>101</v>
      </c>
      <c r="D748" s="3024">
        <v>134.19999999999999</v>
      </c>
      <c r="E748" s="3024">
        <v>84.31</v>
      </c>
      <c r="F748" s="3024"/>
      <c r="G748" s="3024">
        <f t="shared" si="49"/>
        <v>218.51</v>
      </c>
      <c r="H748" s="3024"/>
      <c r="I748" s="3024"/>
      <c r="J748" s="3024">
        <f>J728</f>
        <v>108.67</v>
      </c>
      <c r="K748" s="3024">
        <f t="shared" si="50"/>
        <v>109.83999999999999</v>
      </c>
      <c r="L748" s="3024">
        <f t="shared" si="42"/>
        <v>218.51</v>
      </c>
      <c r="M748" s="3024">
        <f>SUM(J748:J753)</f>
        <v>652.01</v>
      </c>
    </row>
    <row r="749" spans="1:13">
      <c r="A749" s="3024"/>
      <c r="B749" s="3024"/>
      <c r="C749" s="3024">
        <v>102</v>
      </c>
      <c r="D749" s="3024">
        <v>134.19999999999999</v>
      </c>
      <c r="E749" s="3024">
        <v>84.44</v>
      </c>
      <c r="F749" s="3024"/>
      <c r="G749" s="3024">
        <f t="shared" si="49"/>
        <v>218.64</v>
      </c>
      <c r="H749" s="3024"/>
      <c r="I749" s="3024"/>
      <c r="J749" s="3024">
        <f>J748</f>
        <v>108.67</v>
      </c>
      <c r="K749" s="3024">
        <f t="shared" si="50"/>
        <v>109.96999999999998</v>
      </c>
      <c r="L749" s="3024">
        <f t="shared" si="42"/>
        <v>218.64</v>
      </c>
      <c r="M749" s="3024"/>
    </row>
    <row r="750" spans="1:13">
      <c r="A750" s="3024"/>
      <c r="B750" s="3024"/>
      <c r="C750" s="3024">
        <v>103</v>
      </c>
      <c r="D750" s="3024">
        <v>134.38999999999999</v>
      </c>
      <c r="E750" s="3024">
        <v>84.72</v>
      </c>
      <c r="F750" s="3024"/>
      <c r="G750" s="3024">
        <f t="shared" si="49"/>
        <v>219.10999999999999</v>
      </c>
      <c r="H750" s="3024"/>
      <c r="I750" s="3024"/>
      <c r="J750" s="3024">
        <f>J748</f>
        <v>108.67</v>
      </c>
      <c r="K750" s="3024">
        <f t="shared" si="50"/>
        <v>110.43999999999998</v>
      </c>
      <c r="L750" s="3024">
        <f t="shared" si="42"/>
        <v>219.10999999999999</v>
      </c>
      <c r="M750" s="3024"/>
    </row>
    <row r="751" spans="1:13">
      <c r="A751" s="3024"/>
      <c r="B751" s="3024"/>
      <c r="C751" s="3024">
        <v>104</v>
      </c>
      <c r="D751" s="3024">
        <v>134.19999999999999</v>
      </c>
      <c r="E751" s="3024">
        <v>84.31</v>
      </c>
      <c r="F751" s="3024"/>
      <c r="G751" s="3024">
        <f t="shared" si="49"/>
        <v>218.51</v>
      </c>
      <c r="H751" s="3024"/>
      <c r="I751" s="3024"/>
      <c r="J751" s="3024">
        <f>J748</f>
        <v>108.67</v>
      </c>
      <c r="K751" s="3024">
        <f t="shared" si="50"/>
        <v>109.83999999999999</v>
      </c>
      <c r="L751" s="3024">
        <f t="shared" si="42"/>
        <v>218.51</v>
      </c>
      <c r="M751" s="3024"/>
    </row>
    <row r="752" spans="1:13">
      <c r="A752" s="3024"/>
      <c r="B752" s="3024"/>
      <c r="C752" s="3024">
        <v>105</v>
      </c>
      <c r="D752" s="3024">
        <v>134.19999999999999</v>
      </c>
      <c r="E752" s="3024">
        <v>84.44</v>
      </c>
      <c r="F752" s="3024"/>
      <c r="G752" s="3024">
        <f t="shared" si="49"/>
        <v>218.64</v>
      </c>
      <c r="H752" s="3024"/>
      <c r="I752" s="3024"/>
      <c r="J752" s="3024">
        <f>J748</f>
        <v>108.67</v>
      </c>
      <c r="K752" s="3024">
        <f t="shared" si="50"/>
        <v>109.96999999999998</v>
      </c>
      <c r="L752" s="3024">
        <f t="shared" si="42"/>
        <v>218.64</v>
      </c>
      <c r="M752" s="3024"/>
    </row>
    <row r="753" spans="1:13">
      <c r="A753" s="3024"/>
      <c r="B753" s="3024"/>
      <c r="C753" s="3024">
        <v>106</v>
      </c>
      <c r="D753" s="3024">
        <v>134.38999999999999</v>
      </c>
      <c r="E753" s="3024">
        <v>84.72</v>
      </c>
      <c r="F753" s="3024"/>
      <c r="G753" s="3024">
        <f t="shared" si="49"/>
        <v>219.10999999999999</v>
      </c>
      <c r="H753" s="3024"/>
      <c r="I753" s="3024"/>
      <c r="J753" s="3024">
        <f>J733</f>
        <v>108.66</v>
      </c>
      <c r="K753" s="3024">
        <f t="shared" si="50"/>
        <v>110.44999999999999</v>
      </c>
      <c r="L753" s="3024">
        <f t="shared" si="42"/>
        <v>219.10999999999999</v>
      </c>
      <c r="M753" s="3024"/>
    </row>
    <row r="754" spans="1:13">
      <c r="A754" s="3024" t="s">
        <v>3146</v>
      </c>
      <c r="B754" s="3024">
        <v>4</v>
      </c>
      <c r="C754" s="3024">
        <v>-201</v>
      </c>
      <c r="D754" s="3024"/>
      <c r="E754" s="3024">
        <v>83.61</v>
      </c>
      <c r="F754" s="3024"/>
      <c r="G754" s="3024">
        <f t="shared" si="49"/>
        <v>83.61</v>
      </c>
      <c r="H754" s="3024">
        <f>SUM(G754:G761)</f>
        <v>1214.1399999999999</v>
      </c>
      <c r="I754" s="3024"/>
      <c r="J754" s="3024"/>
      <c r="K754" s="3024">
        <f t="shared" si="50"/>
        <v>83.61</v>
      </c>
      <c r="L754" s="3024">
        <f t="shared" si="42"/>
        <v>83.61</v>
      </c>
      <c r="M754" s="3024"/>
    </row>
    <row r="755" spans="1:13">
      <c r="A755" s="3024"/>
      <c r="B755" s="3024"/>
      <c r="C755" s="3024">
        <v>-202</v>
      </c>
      <c r="D755" s="3024"/>
      <c r="E755" s="3024">
        <v>84.33</v>
      </c>
      <c r="F755" s="3024"/>
      <c r="G755" s="3024">
        <f t="shared" si="49"/>
        <v>84.33</v>
      </c>
      <c r="H755" s="3024"/>
      <c r="I755" s="3024"/>
      <c r="J755" s="3024"/>
      <c r="K755" s="3024">
        <f t="shared" si="50"/>
        <v>84.33</v>
      </c>
      <c r="L755" s="3024">
        <f t="shared" si="42"/>
        <v>84.33</v>
      </c>
      <c r="M755" s="3024"/>
    </row>
    <row r="756" spans="1:13">
      <c r="A756" s="3024"/>
      <c r="B756" s="3024"/>
      <c r="C756" s="3024">
        <v>-203</v>
      </c>
      <c r="D756" s="3024"/>
      <c r="E756" s="3024">
        <v>83.61</v>
      </c>
      <c r="F756" s="3024"/>
      <c r="G756" s="3024">
        <f t="shared" si="49"/>
        <v>83.61</v>
      </c>
      <c r="H756" s="3024"/>
      <c r="I756" s="3024"/>
      <c r="J756" s="3024"/>
      <c r="K756" s="3024">
        <f t="shared" si="50"/>
        <v>83.61</v>
      </c>
      <c r="L756" s="3024">
        <f t="shared" si="42"/>
        <v>83.61</v>
      </c>
      <c r="M756" s="3024"/>
    </row>
    <row r="757" spans="1:13">
      <c r="A757" s="3024"/>
      <c r="B757" s="3024"/>
      <c r="C757" s="3024">
        <v>-204</v>
      </c>
      <c r="D757" s="3024"/>
      <c r="E757" s="3024">
        <v>84.33</v>
      </c>
      <c r="F757" s="3024"/>
      <c r="G757" s="3024">
        <f t="shared" si="49"/>
        <v>84.33</v>
      </c>
      <c r="H757" s="3024"/>
      <c r="I757" s="3024"/>
      <c r="J757" s="3024"/>
      <c r="K757" s="3024">
        <f t="shared" si="50"/>
        <v>84.33</v>
      </c>
      <c r="L757" s="3024">
        <f t="shared" si="42"/>
        <v>84.33</v>
      </c>
      <c r="M757" s="3024"/>
    </row>
    <row r="758" spans="1:13">
      <c r="A758" s="3024"/>
      <c r="B758" s="3024"/>
      <c r="C758" s="3024">
        <v>101</v>
      </c>
      <c r="D758" s="3024">
        <v>134.66</v>
      </c>
      <c r="E758" s="3024">
        <v>84.6</v>
      </c>
      <c r="F758" s="3024"/>
      <c r="G758" s="3024">
        <f t="shared" si="49"/>
        <v>219.26</v>
      </c>
      <c r="H758" s="3024"/>
      <c r="I758" s="3024"/>
      <c r="J758" s="3024">
        <f>J738</f>
        <v>108.89</v>
      </c>
      <c r="K758" s="3024">
        <f t="shared" si="50"/>
        <v>110.36999999999999</v>
      </c>
      <c r="L758" s="3024">
        <f t="shared" si="42"/>
        <v>219.26</v>
      </c>
      <c r="M758" s="3024">
        <f>SUM(J758:J761)</f>
        <v>435.56</v>
      </c>
    </row>
    <row r="759" spans="1:13">
      <c r="A759" s="3024"/>
      <c r="B759" s="3024"/>
      <c r="C759" s="3024">
        <v>102</v>
      </c>
      <c r="D759" s="3024">
        <v>134.86000000000001</v>
      </c>
      <c r="E759" s="3024">
        <v>85.01</v>
      </c>
      <c r="F759" s="3024"/>
      <c r="G759" s="3024">
        <f t="shared" si="49"/>
        <v>219.87</v>
      </c>
      <c r="H759" s="3024"/>
      <c r="I759" s="3024"/>
      <c r="J759" s="3024">
        <f>J758</f>
        <v>108.89</v>
      </c>
      <c r="K759" s="3024">
        <f t="shared" si="50"/>
        <v>110.98</v>
      </c>
      <c r="L759" s="3024">
        <f t="shared" si="42"/>
        <v>219.87</v>
      </c>
      <c r="M759" s="3024"/>
    </row>
    <row r="760" spans="1:13">
      <c r="A760" s="3024"/>
      <c r="B760" s="3024"/>
      <c r="C760" s="3024">
        <v>103</v>
      </c>
      <c r="D760" s="3024">
        <v>134.66</v>
      </c>
      <c r="E760" s="3024">
        <v>84.6</v>
      </c>
      <c r="F760" s="3024"/>
      <c r="G760" s="3024">
        <f t="shared" si="49"/>
        <v>219.26</v>
      </c>
      <c r="H760" s="3024"/>
      <c r="I760" s="3024"/>
      <c r="J760" s="3024">
        <f>J758</f>
        <v>108.89</v>
      </c>
      <c r="K760" s="3024">
        <f t="shared" si="50"/>
        <v>110.36999999999999</v>
      </c>
      <c r="L760" s="3024">
        <f t="shared" si="42"/>
        <v>219.26</v>
      </c>
      <c r="M760" s="3024"/>
    </row>
    <row r="761" spans="1:13">
      <c r="A761" s="3024"/>
      <c r="B761" s="3024"/>
      <c r="C761" s="3024">
        <v>104</v>
      </c>
      <c r="D761" s="3024">
        <v>134.86000000000001</v>
      </c>
      <c r="E761" s="3024">
        <v>85.01</v>
      </c>
      <c r="F761" s="3024"/>
      <c r="G761" s="3024">
        <f t="shared" si="49"/>
        <v>219.87</v>
      </c>
      <c r="H761" s="3024"/>
      <c r="I761" s="3024"/>
      <c r="J761" s="3024">
        <f>J758</f>
        <v>108.89</v>
      </c>
      <c r="K761" s="3024">
        <f t="shared" si="50"/>
        <v>110.98</v>
      </c>
      <c r="L761" s="3024">
        <f t="shared" si="42"/>
        <v>219.87</v>
      </c>
      <c r="M761" s="3024"/>
    </row>
    <row r="762" spans="1:13">
      <c r="A762" s="3024" t="s">
        <v>3147</v>
      </c>
      <c r="B762" s="3024">
        <v>4</v>
      </c>
      <c r="C762" s="3024">
        <v>-201</v>
      </c>
      <c r="D762" s="3024"/>
      <c r="E762" s="3024">
        <v>83.62</v>
      </c>
      <c r="F762" s="3024"/>
      <c r="G762" s="3024">
        <f t="shared" si="49"/>
        <v>83.62</v>
      </c>
      <c r="H762" s="3024">
        <f>SUM(G762:G769)</f>
        <v>1214.6199999999999</v>
      </c>
      <c r="I762" s="3024"/>
      <c r="J762" s="3024"/>
      <c r="K762" s="3024">
        <f t="shared" si="50"/>
        <v>83.62</v>
      </c>
      <c r="L762" s="3024">
        <f t="shared" si="42"/>
        <v>83.62</v>
      </c>
      <c r="M762" s="3024"/>
    </row>
    <row r="763" spans="1:13">
      <c r="A763" s="3024"/>
      <c r="B763" s="3024"/>
      <c r="C763" s="3024">
        <v>-202</v>
      </c>
      <c r="D763" s="3024"/>
      <c r="E763" s="3024">
        <v>84.34</v>
      </c>
      <c r="F763" s="3024"/>
      <c r="G763" s="3024">
        <f t="shared" si="49"/>
        <v>84.34</v>
      </c>
      <c r="H763" s="3024"/>
      <c r="I763" s="3024"/>
      <c r="J763" s="3024"/>
      <c r="K763" s="3024">
        <f t="shared" si="50"/>
        <v>84.34</v>
      </c>
      <c r="L763" s="3024">
        <f t="shared" si="42"/>
        <v>84.34</v>
      </c>
      <c r="M763" s="3024"/>
    </row>
    <row r="764" spans="1:13">
      <c r="A764" s="3024"/>
      <c r="B764" s="3024"/>
      <c r="C764" s="3024">
        <v>-203</v>
      </c>
      <c r="D764" s="3024"/>
      <c r="E764" s="3024">
        <v>83.62</v>
      </c>
      <c r="F764" s="3024"/>
      <c r="G764" s="3024">
        <f t="shared" si="49"/>
        <v>83.62</v>
      </c>
      <c r="H764" s="3024"/>
      <c r="I764" s="3024"/>
      <c r="J764" s="3024"/>
      <c r="K764" s="3024">
        <f t="shared" si="50"/>
        <v>83.62</v>
      </c>
      <c r="L764" s="3024">
        <f t="shared" si="42"/>
        <v>83.62</v>
      </c>
      <c r="M764" s="3024"/>
    </row>
    <row r="765" spans="1:13">
      <c r="A765" s="3024"/>
      <c r="B765" s="3024"/>
      <c r="C765" s="3024">
        <v>-204</v>
      </c>
      <c r="D765" s="3024"/>
      <c r="E765" s="3024">
        <v>84.34</v>
      </c>
      <c r="F765" s="3024"/>
      <c r="G765" s="3024">
        <f t="shared" si="49"/>
        <v>84.34</v>
      </c>
      <c r="H765" s="3024"/>
      <c r="I765" s="3024"/>
      <c r="J765" s="3024"/>
      <c r="K765" s="3024">
        <f t="shared" si="50"/>
        <v>84.34</v>
      </c>
      <c r="L765" s="3024">
        <f t="shared" si="42"/>
        <v>84.34</v>
      </c>
      <c r="M765" s="3024"/>
    </row>
    <row r="766" spans="1:13">
      <c r="A766" s="3024"/>
      <c r="B766" s="3024"/>
      <c r="C766" s="3024">
        <v>101</v>
      </c>
      <c r="D766" s="3024">
        <v>134.72999999999999</v>
      </c>
      <c r="E766" s="3024">
        <v>84.64</v>
      </c>
      <c r="F766" s="3024"/>
      <c r="G766" s="3024">
        <f t="shared" si="49"/>
        <v>219.37</v>
      </c>
      <c r="H766" s="3024"/>
      <c r="I766" s="3024"/>
      <c r="J766" s="3024">
        <f>J758</f>
        <v>108.89</v>
      </c>
      <c r="K766" s="3024">
        <f t="shared" si="50"/>
        <v>110.48</v>
      </c>
      <c r="L766" s="3024">
        <f t="shared" si="42"/>
        <v>219.37</v>
      </c>
      <c r="M766" s="3024">
        <f>SUM(J766:J769)</f>
        <v>435.56</v>
      </c>
    </row>
    <row r="767" spans="1:13">
      <c r="A767" s="3024"/>
      <c r="B767" s="3024"/>
      <c r="C767" s="3024">
        <v>102</v>
      </c>
      <c r="D767" s="3024">
        <v>134.91999999999999</v>
      </c>
      <c r="E767" s="3024">
        <v>85.06</v>
      </c>
      <c r="F767" s="3024"/>
      <c r="G767" s="3024">
        <f t="shared" si="49"/>
        <v>219.98</v>
      </c>
      <c r="H767" s="3024"/>
      <c r="I767" s="3024"/>
      <c r="J767" s="3024">
        <f>J766</f>
        <v>108.89</v>
      </c>
      <c r="K767" s="3024">
        <f t="shared" si="50"/>
        <v>111.08999999999999</v>
      </c>
      <c r="L767" s="3024">
        <f t="shared" si="42"/>
        <v>219.98</v>
      </c>
      <c r="M767" s="3024"/>
    </row>
    <row r="768" spans="1:13">
      <c r="A768" s="3024"/>
      <c r="B768" s="3024"/>
      <c r="C768" s="3024">
        <v>103</v>
      </c>
      <c r="D768" s="3024">
        <v>134.72999999999999</v>
      </c>
      <c r="E768" s="3024">
        <v>84.64</v>
      </c>
      <c r="F768" s="3024"/>
      <c r="G768" s="3024">
        <f t="shared" si="49"/>
        <v>219.37</v>
      </c>
      <c r="H768" s="3024"/>
      <c r="I768" s="3024"/>
      <c r="J768" s="3024">
        <f>J766</f>
        <v>108.89</v>
      </c>
      <c r="K768" s="3024">
        <f t="shared" si="50"/>
        <v>110.48</v>
      </c>
      <c r="L768" s="3024">
        <f t="shared" si="42"/>
        <v>219.37</v>
      </c>
      <c r="M768" s="3024"/>
    </row>
    <row r="769" spans="1:13">
      <c r="A769" s="3024"/>
      <c r="B769" s="3024"/>
      <c r="C769" s="3024">
        <v>104</v>
      </c>
      <c r="D769" s="3024">
        <v>134.91999999999999</v>
      </c>
      <c r="E769" s="3024">
        <v>85.06</v>
      </c>
      <c r="F769" s="3024"/>
      <c r="G769" s="3024">
        <f t="shared" si="49"/>
        <v>219.98</v>
      </c>
      <c r="H769" s="3024"/>
      <c r="I769" s="3024"/>
      <c r="J769" s="3024">
        <f>J766</f>
        <v>108.89</v>
      </c>
      <c r="K769" s="3024">
        <f t="shared" si="50"/>
        <v>111.08999999999999</v>
      </c>
      <c r="L769" s="3024">
        <f t="shared" si="42"/>
        <v>219.98</v>
      </c>
      <c r="M769" s="3024"/>
    </row>
    <row r="770" spans="1:13">
      <c r="A770" s="3024" t="s">
        <v>3148</v>
      </c>
      <c r="B770" s="3024">
        <v>6</v>
      </c>
      <c r="C770" s="3024">
        <v>-201</v>
      </c>
      <c r="D770" s="3024"/>
      <c r="E770" s="3024">
        <v>83.45</v>
      </c>
      <c r="F770" s="3024"/>
      <c r="G770" s="3024">
        <f t="shared" si="49"/>
        <v>83.45</v>
      </c>
      <c r="H770" s="3024">
        <f>SUM(G770:G781)</f>
        <v>1816.8799999999999</v>
      </c>
      <c r="I770" s="3024"/>
      <c r="J770" s="3024"/>
      <c r="K770" s="3024">
        <f t="shared" si="50"/>
        <v>83.45</v>
      </c>
      <c r="L770" s="3024">
        <f t="shared" si="42"/>
        <v>83.45</v>
      </c>
      <c r="M770" s="3024"/>
    </row>
    <row r="771" spans="1:13">
      <c r="A771" s="3024"/>
      <c r="B771" s="3024"/>
      <c r="C771" s="3024">
        <v>-202</v>
      </c>
      <c r="D771" s="3024"/>
      <c r="E771" s="3024">
        <v>84.17</v>
      </c>
      <c r="F771" s="3024"/>
      <c r="G771" s="3024">
        <f t="shared" si="49"/>
        <v>84.17</v>
      </c>
      <c r="H771" s="3024"/>
      <c r="I771" s="3024"/>
      <c r="J771" s="3024"/>
      <c r="K771" s="3024">
        <f t="shared" si="50"/>
        <v>84.17</v>
      </c>
      <c r="L771" s="3024">
        <f t="shared" si="42"/>
        <v>84.17</v>
      </c>
      <c r="M771" s="3024"/>
    </row>
    <row r="772" spans="1:13">
      <c r="A772" s="3024"/>
      <c r="B772" s="3024"/>
      <c r="C772" s="3024">
        <v>-203</v>
      </c>
      <c r="D772" s="3024"/>
      <c r="E772" s="3024">
        <v>84.17</v>
      </c>
      <c r="F772" s="3024"/>
      <c r="G772" s="3024">
        <f t="shared" si="49"/>
        <v>84.17</v>
      </c>
      <c r="H772" s="3024"/>
      <c r="I772" s="3024"/>
      <c r="J772" s="3024"/>
      <c r="K772" s="3024">
        <f t="shared" si="50"/>
        <v>84.17</v>
      </c>
      <c r="L772" s="3024">
        <f t="shared" si="42"/>
        <v>84.17</v>
      </c>
      <c r="M772" s="3024"/>
    </row>
    <row r="773" spans="1:13">
      <c r="A773" s="3024"/>
      <c r="B773" s="3024"/>
      <c r="C773" s="3024">
        <v>-204</v>
      </c>
      <c r="D773" s="3024"/>
      <c r="E773" s="3024">
        <v>83.45</v>
      </c>
      <c r="F773" s="3024"/>
      <c r="G773" s="3024">
        <f t="shared" si="49"/>
        <v>83.45</v>
      </c>
      <c r="H773" s="3024"/>
      <c r="I773" s="3024"/>
      <c r="J773" s="3024"/>
      <c r="K773" s="3024">
        <f t="shared" si="50"/>
        <v>83.45</v>
      </c>
      <c r="L773" s="3024">
        <f t="shared" si="42"/>
        <v>83.45</v>
      </c>
      <c r="M773" s="3024"/>
    </row>
    <row r="774" spans="1:13">
      <c r="A774" s="3024"/>
      <c r="B774" s="3024"/>
      <c r="C774" s="3024">
        <v>-205</v>
      </c>
      <c r="D774" s="3024"/>
      <c r="E774" s="3024">
        <v>84.17</v>
      </c>
      <c r="F774" s="3024"/>
      <c r="G774" s="3024">
        <f t="shared" si="49"/>
        <v>84.17</v>
      </c>
      <c r="H774" s="3024"/>
      <c r="I774" s="3024"/>
      <c r="J774" s="3024"/>
      <c r="K774" s="3024">
        <f t="shared" si="50"/>
        <v>84.17</v>
      </c>
      <c r="L774" s="3024">
        <f t="shared" si="42"/>
        <v>84.17</v>
      </c>
      <c r="M774" s="3024"/>
    </row>
    <row r="775" spans="1:13">
      <c r="A775" s="3024"/>
      <c r="B775" s="3024"/>
      <c r="C775" s="3024">
        <v>-206</v>
      </c>
      <c r="D775" s="3024"/>
      <c r="E775" s="3024">
        <v>84.17</v>
      </c>
      <c r="F775" s="3024"/>
      <c r="G775" s="3024">
        <f t="shared" si="49"/>
        <v>84.17</v>
      </c>
      <c r="H775" s="3024"/>
      <c r="I775" s="3024"/>
      <c r="J775" s="3024"/>
      <c r="K775" s="3024">
        <f t="shared" si="50"/>
        <v>84.17</v>
      </c>
      <c r="L775" s="3024">
        <f t="shared" si="42"/>
        <v>84.17</v>
      </c>
      <c r="M775" s="3024"/>
    </row>
    <row r="776" spans="1:13">
      <c r="A776" s="3024"/>
      <c r="B776" s="3024"/>
      <c r="C776" s="3024">
        <v>101</v>
      </c>
      <c r="D776" s="3024">
        <v>134.29</v>
      </c>
      <c r="E776" s="3024">
        <v>84.35</v>
      </c>
      <c r="F776" s="3024"/>
      <c r="G776" s="3024">
        <f t="shared" si="49"/>
        <v>218.64</v>
      </c>
      <c r="H776" s="3024"/>
      <c r="I776" s="3024"/>
      <c r="J776" s="3024">
        <f>J748</f>
        <v>108.67</v>
      </c>
      <c r="K776" s="3024">
        <f t="shared" si="50"/>
        <v>109.96999999999998</v>
      </c>
      <c r="L776" s="3024">
        <f t="shared" si="42"/>
        <v>218.64</v>
      </c>
      <c r="M776" s="3024">
        <f>SUM(J776:J781)</f>
        <v>652.01</v>
      </c>
    </row>
    <row r="777" spans="1:13">
      <c r="A777" s="3024"/>
      <c r="B777" s="3024"/>
      <c r="C777" s="3024">
        <v>102</v>
      </c>
      <c r="D777" s="3024">
        <v>134.28</v>
      </c>
      <c r="E777" s="3024">
        <v>84.49</v>
      </c>
      <c r="F777" s="3024"/>
      <c r="G777" s="3024">
        <f t="shared" si="49"/>
        <v>218.76999999999998</v>
      </c>
      <c r="H777" s="3024"/>
      <c r="I777" s="3024"/>
      <c r="J777" s="3024">
        <f>J776</f>
        <v>108.67</v>
      </c>
      <c r="K777" s="3024">
        <f t="shared" si="50"/>
        <v>110.09999999999998</v>
      </c>
      <c r="L777" s="3024">
        <f t="shared" si="42"/>
        <v>218.76999999999998</v>
      </c>
      <c r="M777" s="3024"/>
    </row>
    <row r="778" spans="1:13">
      <c r="A778" s="3024"/>
      <c r="B778" s="3024"/>
      <c r="C778" s="3024">
        <v>103</v>
      </c>
      <c r="D778" s="3024">
        <v>134.47</v>
      </c>
      <c r="E778" s="3024">
        <v>84.77</v>
      </c>
      <c r="F778" s="3024"/>
      <c r="G778" s="3024">
        <f t="shared" si="49"/>
        <v>219.24</v>
      </c>
      <c r="H778" s="3024"/>
      <c r="I778" s="3024"/>
      <c r="J778" s="3024">
        <f>J776</f>
        <v>108.67</v>
      </c>
      <c r="K778" s="3024">
        <f t="shared" si="50"/>
        <v>110.57000000000001</v>
      </c>
      <c r="L778" s="3024">
        <f t="shared" si="42"/>
        <v>219.24</v>
      </c>
      <c r="M778" s="3024"/>
    </row>
    <row r="779" spans="1:13">
      <c r="A779" s="3024"/>
      <c r="B779" s="3024"/>
      <c r="C779" s="3024">
        <v>104</v>
      </c>
      <c r="D779" s="3024">
        <v>134.29</v>
      </c>
      <c r="E779" s="3024">
        <v>84.35</v>
      </c>
      <c r="F779" s="3024"/>
      <c r="G779" s="3024">
        <f t="shared" si="49"/>
        <v>218.64</v>
      </c>
      <c r="H779" s="3024"/>
      <c r="I779" s="3024"/>
      <c r="J779" s="3024">
        <f>J776</f>
        <v>108.67</v>
      </c>
      <c r="K779" s="3024">
        <f t="shared" si="50"/>
        <v>109.96999999999998</v>
      </c>
      <c r="L779" s="3024">
        <f t="shared" si="42"/>
        <v>218.64</v>
      </c>
      <c r="M779" s="3024"/>
    </row>
    <row r="780" spans="1:13">
      <c r="A780" s="3024"/>
      <c r="B780" s="3024"/>
      <c r="C780" s="3024">
        <v>105</v>
      </c>
      <c r="D780" s="3024">
        <v>134.28</v>
      </c>
      <c r="E780" s="3024">
        <v>84.49</v>
      </c>
      <c r="F780" s="3024"/>
      <c r="G780" s="3024">
        <f t="shared" si="49"/>
        <v>218.76999999999998</v>
      </c>
      <c r="H780" s="3024"/>
      <c r="I780" s="3024"/>
      <c r="J780" s="3024">
        <f>J776</f>
        <v>108.67</v>
      </c>
      <c r="K780" s="3024">
        <f t="shared" si="50"/>
        <v>110.09999999999998</v>
      </c>
      <c r="L780" s="3024">
        <f t="shared" si="42"/>
        <v>218.76999999999998</v>
      </c>
      <c r="M780" s="3024"/>
    </row>
    <row r="781" spans="1:13">
      <c r="A781" s="3024"/>
      <c r="B781" s="3024"/>
      <c r="C781" s="3024">
        <v>106</v>
      </c>
      <c r="D781" s="3024">
        <v>134.47</v>
      </c>
      <c r="E781" s="3024">
        <v>84.77</v>
      </c>
      <c r="F781" s="3024"/>
      <c r="G781" s="3024">
        <f t="shared" si="49"/>
        <v>219.24</v>
      </c>
      <c r="H781" s="3024"/>
      <c r="I781" s="3024"/>
      <c r="J781" s="3024">
        <v>108.66</v>
      </c>
      <c r="K781" s="3024">
        <f t="shared" si="50"/>
        <v>110.58000000000001</v>
      </c>
      <c r="L781" s="3024">
        <f t="shared" si="42"/>
        <v>219.24</v>
      </c>
      <c r="M781" s="3024"/>
    </row>
    <row r="782" spans="1:13">
      <c r="A782" s="3024" t="s">
        <v>3149</v>
      </c>
      <c r="B782" s="3024">
        <v>4</v>
      </c>
      <c r="C782" s="3024">
        <v>-201</v>
      </c>
      <c r="D782" s="3024"/>
      <c r="E782" s="3024">
        <v>83.62</v>
      </c>
      <c r="F782" s="3024"/>
      <c r="G782" s="3024">
        <f t="shared" si="49"/>
        <v>83.62</v>
      </c>
      <c r="H782" s="3024">
        <f>SUM(G782:G789)</f>
        <v>1214.6199999999999</v>
      </c>
      <c r="I782" s="3024"/>
      <c r="J782" s="3024"/>
      <c r="K782" s="3024">
        <f t="shared" si="50"/>
        <v>83.62</v>
      </c>
      <c r="L782" s="3024">
        <f t="shared" ref="L782:L841" si="51">J782+K782</f>
        <v>83.62</v>
      </c>
      <c r="M782" s="3024"/>
    </row>
    <row r="783" spans="1:13">
      <c r="A783" s="3024"/>
      <c r="B783" s="3024"/>
      <c r="C783" s="3024">
        <v>-202</v>
      </c>
      <c r="D783" s="3024"/>
      <c r="E783" s="3024">
        <v>84.34</v>
      </c>
      <c r="F783" s="3024"/>
      <c r="G783" s="3024">
        <f t="shared" si="49"/>
        <v>84.34</v>
      </c>
      <c r="H783" s="3024"/>
      <c r="I783" s="3024"/>
      <c r="J783" s="3024"/>
      <c r="K783" s="3024">
        <f t="shared" si="50"/>
        <v>84.34</v>
      </c>
      <c r="L783" s="3024">
        <f t="shared" si="51"/>
        <v>84.34</v>
      </c>
      <c r="M783" s="3024"/>
    </row>
    <row r="784" spans="1:13">
      <c r="A784" s="3024"/>
      <c r="B784" s="3024"/>
      <c r="C784" s="3024">
        <v>-203</v>
      </c>
      <c r="D784" s="3024"/>
      <c r="E784" s="3024">
        <v>83.62</v>
      </c>
      <c r="F784" s="3024"/>
      <c r="G784" s="3024">
        <f t="shared" si="49"/>
        <v>83.62</v>
      </c>
      <c r="H784" s="3024"/>
      <c r="I784" s="3024"/>
      <c r="J784" s="3024"/>
      <c r="K784" s="3024">
        <f t="shared" si="50"/>
        <v>83.62</v>
      </c>
      <c r="L784" s="3024">
        <f t="shared" si="51"/>
        <v>83.62</v>
      </c>
      <c r="M784" s="3024"/>
    </row>
    <row r="785" spans="1:13">
      <c r="A785" s="3024"/>
      <c r="B785" s="3024"/>
      <c r="C785" s="3024">
        <v>-204</v>
      </c>
      <c r="D785" s="3024"/>
      <c r="E785" s="3024">
        <v>84.34</v>
      </c>
      <c r="F785" s="3024"/>
      <c r="G785" s="3024">
        <f t="shared" si="49"/>
        <v>84.34</v>
      </c>
      <c r="H785" s="3024"/>
      <c r="I785" s="3024"/>
      <c r="J785" s="3024"/>
      <c r="K785" s="3024">
        <f t="shared" si="50"/>
        <v>84.34</v>
      </c>
      <c r="L785" s="3024">
        <f t="shared" si="51"/>
        <v>84.34</v>
      </c>
      <c r="M785" s="3024"/>
    </row>
    <row r="786" spans="1:13">
      <c r="A786" s="3024"/>
      <c r="B786" s="3024"/>
      <c r="C786" s="3024">
        <v>101</v>
      </c>
      <c r="D786" s="3024">
        <v>134.72999999999999</v>
      </c>
      <c r="E786" s="3024">
        <v>84.64</v>
      </c>
      <c r="F786" s="3024"/>
      <c r="G786" s="3024">
        <f t="shared" si="49"/>
        <v>219.37</v>
      </c>
      <c r="H786" s="3024"/>
      <c r="I786" s="3024"/>
      <c r="J786" s="3024">
        <f>J766</f>
        <v>108.89</v>
      </c>
      <c r="K786" s="3024">
        <f t="shared" si="50"/>
        <v>110.48</v>
      </c>
      <c r="L786" s="3024">
        <f t="shared" si="51"/>
        <v>219.37</v>
      </c>
      <c r="M786" s="3024">
        <f>SUM(J786:J789)</f>
        <v>435.56</v>
      </c>
    </row>
    <row r="787" spans="1:13">
      <c r="A787" s="3024"/>
      <c r="B787" s="3024"/>
      <c r="C787" s="3024">
        <v>102</v>
      </c>
      <c r="D787" s="3024">
        <v>134.91999999999999</v>
      </c>
      <c r="E787" s="3024">
        <v>85.06</v>
      </c>
      <c r="F787" s="3024"/>
      <c r="G787" s="3024">
        <f t="shared" si="49"/>
        <v>219.98</v>
      </c>
      <c r="H787" s="3024"/>
      <c r="I787" s="3024"/>
      <c r="J787" s="3024">
        <f>J786</f>
        <v>108.89</v>
      </c>
      <c r="K787" s="3024">
        <f t="shared" si="50"/>
        <v>111.08999999999999</v>
      </c>
      <c r="L787" s="3024">
        <f t="shared" si="51"/>
        <v>219.98</v>
      </c>
      <c r="M787" s="3024"/>
    </row>
    <row r="788" spans="1:13">
      <c r="A788" s="3024"/>
      <c r="B788" s="3024"/>
      <c r="C788" s="3024">
        <v>103</v>
      </c>
      <c r="D788" s="3024">
        <v>134.72999999999999</v>
      </c>
      <c r="E788" s="3024">
        <v>84.64</v>
      </c>
      <c r="F788" s="3024"/>
      <c r="G788" s="3024">
        <f t="shared" si="49"/>
        <v>219.37</v>
      </c>
      <c r="H788" s="3024"/>
      <c r="I788" s="3024"/>
      <c r="J788" s="3024">
        <f>J786</f>
        <v>108.89</v>
      </c>
      <c r="K788" s="3024">
        <f t="shared" si="50"/>
        <v>110.48</v>
      </c>
      <c r="L788" s="3024">
        <f t="shared" si="51"/>
        <v>219.37</v>
      </c>
      <c r="M788" s="3024"/>
    </row>
    <row r="789" spans="1:13">
      <c r="A789" s="3024"/>
      <c r="B789" s="3024"/>
      <c r="C789" s="3024">
        <v>104</v>
      </c>
      <c r="D789" s="3024">
        <v>134.91999999999999</v>
      </c>
      <c r="E789" s="3024">
        <v>85.06</v>
      </c>
      <c r="F789" s="3024"/>
      <c r="G789" s="3024">
        <f t="shared" si="49"/>
        <v>219.98</v>
      </c>
      <c r="H789" s="3024"/>
      <c r="I789" s="3024"/>
      <c r="J789" s="3024">
        <f>J786</f>
        <v>108.89</v>
      </c>
      <c r="K789" s="3024">
        <f t="shared" si="50"/>
        <v>111.08999999999999</v>
      </c>
      <c r="L789" s="3024">
        <f t="shared" si="51"/>
        <v>219.98</v>
      </c>
      <c r="M789" s="3024"/>
    </row>
    <row r="790" spans="1:13">
      <c r="A790" s="3024" t="s">
        <v>3150</v>
      </c>
      <c r="B790" s="3024">
        <v>6</v>
      </c>
      <c r="C790" s="3024">
        <v>-201</v>
      </c>
      <c r="D790" s="3024"/>
      <c r="E790" s="3024">
        <v>83.45</v>
      </c>
      <c r="F790" s="3024"/>
      <c r="G790" s="3024">
        <f t="shared" si="49"/>
        <v>83.45</v>
      </c>
      <c r="H790" s="3024">
        <f>SUM(G790:G801)</f>
        <v>1816.8799999999999</v>
      </c>
      <c r="I790" s="3024"/>
      <c r="J790" s="3024"/>
      <c r="K790" s="3024">
        <f t="shared" si="50"/>
        <v>83.45</v>
      </c>
      <c r="L790" s="3024">
        <f t="shared" si="51"/>
        <v>83.45</v>
      </c>
      <c r="M790" s="3024"/>
    </row>
    <row r="791" spans="1:13">
      <c r="A791" s="3024"/>
      <c r="B791" s="3024"/>
      <c r="C791" s="3024">
        <v>-202</v>
      </c>
      <c r="D791" s="3024"/>
      <c r="E791" s="3024">
        <v>84.17</v>
      </c>
      <c r="F791" s="3024"/>
      <c r="G791" s="3024">
        <f t="shared" si="49"/>
        <v>84.17</v>
      </c>
      <c r="H791" s="3024"/>
      <c r="I791" s="3024"/>
      <c r="J791" s="3024"/>
      <c r="K791" s="3024">
        <f t="shared" si="50"/>
        <v>84.17</v>
      </c>
      <c r="L791" s="3024">
        <f t="shared" si="51"/>
        <v>84.17</v>
      </c>
      <c r="M791" s="3024"/>
    </row>
    <row r="792" spans="1:13">
      <c r="A792" s="3024"/>
      <c r="B792" s="3024"/>
      <c r="C792" s="3024">
        <v>-203</v>
      </c>
      <c r="D792" s="3024"/>
      <c r="E792" s="3024">
        <v>84.17</v>
      </c>
      <c r="F792" s="3024"/>
      <c r="G792" s="3024">
        <f t="shared" si="49"/>
        <v>84.17</v>
      </c>
      <c r="H792" s="3024"/>
      <c r="I792" s="3024"/>
      <c r="J792" s="3024"/>
      <c r="K792" s="3024">
        <f t="shared" si="50"/>
        <v>84.17</v>
      </c>
      <c r="L792" s="3024">
        <f t="shared" si="51"/>
        <v>84.17</v>
      </c>
      <c r="M792" s="3024"/>
    </row>
    <row r="793" spans="1:13">
      <c r="A793" s="3024"/>
      <c r="B793" s="3024"/>
      <c r="C793" s="3024">
        <v>-204</v>
      </c>
      <c r="D793" s="3024"/>
      <c r="E793" s="3024">
        <v>83.45</v>
      </c>
      <c r="F793" s="3024"/>
      <c r="G793" s="3024">
        <f t="shared" si="49"/>
        <v>83.45</v>
      </c>
      <c r="H793" s="3024"/>
      <c r="I793" s="3024"/>
      <c r="J793" s="3024"/>
      <c r="K793" s="3024">
        <f t="shared" si="50"/>
        <v>83.45</v>
      </c>
      <c r="L793" s="3024">
        <f t="shared" si="51"/>
        <v>83.45</v>
      </c>
      <c r="M793" s="3024"/>
    </row>
    <row r="794" spans="1:13">
      <c r="A794" s="3024"/>
      <c r="B794" s="3024"/>
      <c r="C794" s="3024">
        <v>-205</v>
      </c>
      <c r="D794" s="3024"/>
      <c r="E794" s="3024">
        <v>84.17</v>
      </c>
      <c r="F794" s="3024"/>
      <c r="G794" s="3024">
        <f t="shared" si="49"/>
        <v>84.17</v>
      </c>
      <c r="H794" s="3024"/>
      <c r="I794" s="3024"/>
      <c r="J794" s="3024"/>
      <c r="K794" s="3024">
        <f t="shared" si="50"/>
        <v>84.17</v>
      </c>
      <c r="L794" s="3024">
        <f t="shared" si="51"/>
        <v>84.17</v>
      </c>
      <c r="M794" s="3024"/>
    </row>
    <row r="795" spans="1:13">
      <c r="A795" s="3024"/>
      <c r="B795" s="3024"/>
      <c r="C795" s="3024">
        <v>-206</v>
      </c>
      <c r="D795" s="3024"/>
      <c r="E795" s="3024">
        <v>84.17</v>
      </c>
      <c r="F795" s="3024"/>
      <c r="G795" s="3024">
        <f t="shared" si="49"/>
        <v>84.17</v>
      </c>
      <c r="H795" s="3024"/>
      <c r="I795" s="3024"/>
      <c r="J795" s="3024"/>
      <c r="K795" s="3024">
        <f t="shared" si="50"/>
        <v>84.17</v>
      </c>
      <c r="L795" s="3024">
        <f t="shared" si="51"/>
        <v>84.17</v>
      </c>
      <c r="M795" s="3024"/>
    </row>
    <row r="796" spans="1:13">
      <c r="A796" s="3024"/>
      <c r="B796" s="3024"/>
      <c r="C796" s="3024">
        <v>101</v>
      </c>
      <c r="D796" s="3024">
        <v>134.29</v>
      </c>
      <c r="E796" s="3024">
        <v>84.35</v>
      </c>
      <c r="F796" s="3024"/>
      <c r="G796" s="3024">
        <f t="shared" si="49"/>
        <v>218.64</v>
      </c>
      <c r="H796" s="3024"/>
      <c r="I796" s="3024"/>
      <c r="J796" s="3024">
        <f>J776</f>
        <v>108.67</v>
      </c>
      <c r="K796" s="3024">
        <f t="shared" si="50"/>
        <v>109.96999999999998</v>
      </c>
      <c r="L796" s="3024">
        <f t="shared" si="51"/>
        <v>218.64</v>
      </c>
      <c r="M796" s="3024">
        <f>SUM(J796:J801)</f>
        <v>652.01</v>
      </c>
    </row>
    <row r="797" spans="1:13">
      <c r="A797" s="3024"/>
      <c r="B797" s="3024"/>
      <c r="C797" s="3024">
        <v>102</v>
      </c>
      <c r="D797" s="3024">
        <v>134.28</v>
      </c>
      <c r="E797" s="3024">
        <v>84.49</v>
      </c>
      <c r="F797" s="3024"/>
      <c r="G797" s="3024">
        <f t="shared" si="49"/>
        <v>218.76999999999998</v>
      </c>
      <c r="H797" s="3024"/>
      <c r="I797" s="3024"/>
      <c r="J797" s="3024">
        <f>J796</f>
        <v>108.67</v>
      </c>
      <c r="K797" s="3024">
        <f t="shared" si="50"/>
        <v>110.09999999999998</v>
      </c>
      <c r="L797" s="3024">
        <f t="shared" si="51"/>
        <v>218.76999999999998</v>
      </c>
      <c r="M797" s="3024"/>
    </row>
    <row r="798" spans="1:13">
      <c r="A798" s="3024"/>
      <c r="B798" s="3024"/>
      <c r="C798" s="3024">
        <v>103</v>
      </c>
      <c r="D798" s="3024">
        <v>134.47</v>
      </c>
      <c r="E798" s="3024">
        <v>84.77</v>
      </c>
      <c r="F798" s="3024"/>
      <c r="G798" s="3024">
        <f t="shared" si="49"/>
        <v>219.24</v>
      </c>
      <c r="H798" s="3024"/>
      <c r="I798" s="3024"/>
      <c r="J798" s="3024">
        <f>J796</f>
        <v>108.67</v>
      </c>
      <c r="K798" s="3024">
        <f t="shared" si="50"/>
        <v>110.57000000000001</v>
      </c>
      <c r="L798" s="3024">
        <f t="shared" si="51"/>
        <v>219.24</v>
      </c>
      <c r="M798" s="3024"/>
    </row>
    <row r="799" spans="1:13">
      <c r="A799" s="3024"/>
      <c r="B799" s="3024"/>
      <c r="C799" s="3024">
        <v>104</v>
      </c>
      <c r="D799" s="3024">
        <v>134.29</v>
      </c>
      <c r="E799" s="3024">
        <v>84.35</v>
      </c>
      <c r="F799" s="3024"/>
      <c r="G799" s="3024">
        <f t="shared" si="49"/>
        <v>218.64</v>
      </c>
      <c r="H799" s="3024"/>
      <c r="I799" s="3024"/>
      <c r="J799" s="3024">
        <f>J796</f>
        <v>108.67</v>
      </c>
      <c r="K799" s="3024">
        <f t="shared" si="50"/>
        <v>109.96999999999998</v>
      </c>
      <c r="L799" s="3024">
        <f t="shared" si="51"/>
        <v>218.64</v>
      </c>
      <c r="M799" s="3024"/>
    </row>
    <row r="800" spans="1:13">
      <c r="A800" s="3024"/>
      <c r="B800" s="3024"/>
      <c r="C800" s="3024">
        <v>105</v>
      </c>
      <c r="D800" s="3024">
        <v>134.28</v>
      </c>
      <c r="E800" s="3024">
        <v>84.49</v>
      </c>
      <c r="F800" s="3024"/>
      <c r="G800" s="3024">
        <f t="shared" si="49"/>
        <v>218.76999999999998</v>
      </c>
      <c r="H800" s="3024"/>
      <c r="I800" s="3024"/>
      <c r="J800" s="3024">
        <f>J796</f>
        <v>108.67</v>
      </c>
      <c r="K800" s="3024">
        <f t="shared" si="50"/>
        <v>110.09999999999998</v>
      </c>
      <c r="L800" s="3024">
        <f t="shared" si="51"/>
        <v>218.76999999999998</v>
      </c>
      <c r="M800" s="3024"/>
    </row>
    <row r="801" spans="1:13">
      <c r="A801" s="3024"/>
      <c r="B801" s="3024"/>
      <c r="C801" s="3024">
        <v>106</v>
      </c>
      <c r="D801" s="3024">
        <v>134.47</v>
      </c>
      <c r="E801" s="3024">
        <v>84.77</v>
      </c>
      <c r="F801" s="3024"/>
      <c r="G801" s="3024">
        <f t="shared" si="49"/>
        <v>219.24</v>
      </c>
      <c r="H801" s="3024"/>
      <c r="I801" s="3024"/>
      <c r="J801" s="3024">
        <f>J781</f>
        <v>108.66</v>
      </c>
      <c r="K801" s="3024">
        <f t="shared" si="50"/>
        <v>110.58000000000001</v>
      </c>
      <c r="L801" s="3024">
        <f t="shared" si="51"/>
        <v>219.24</v>
      </c>
      <c r="M801" s="3024"/>
    </row>
    <row r="802" spans="1:13">
      <c r="A802" s="3024" t="s">
        <v>3151</v>
      </c>
      <c r="B802" s="3024">
        <v>6</v>
      </c>
      <c r="C802" s="3024">
        <v>-201</v>
      </c>
      <c r="D802" s="3024"/>
      <c r="E802" s="3024">
        <v>83.45</v>
      </c>
      <c r="F802" s="3024"/>
      <c r="G802" s="3024">
        <f t="shared" si="49"/>
        <v>83.45</v>
      </c>
      <c r="H802" s="3024">
        <f>SUM(G802:G813)</f>
        <v>1816.8799999999999</v>
      </c>
      <c r="I802" s="3024"/>
      <c r="J802" s="3024"/>
      <c r="K802" s="3024">
        <f t="shared" si="50"/>
        <v>83.45</v>
      </c>
      <c r="L802" s="3024">
        <f t="shared" si="51"/>
        <v>83.45</v>
      </c>
      <c r="M802" s="3024"/>
    </row>
    <row r="803" spans="1:13">
      <c r="A803" s="3024"/>
      <c r="B803" s="3024"/>
      <c r="C803" s="3024">
        <v>-202</v>
      </c>
      <c r="D803" s="3024"/>
      <c r="E803" s="3024">
        <v>84.17</v>
      </c>
      <c r="F803" s="3024"/>
      <c r="G803" s="3024">
        <f t="shared" ref="G803:G841" si="52">SUM(D803:F803)</f>
        <v>84.17</v>
      </c>
      <c r="H803" s="3024"/>
      <c r="I803" s="3024"/>
      <c r="J803" s="3024"/>
      <c r="K803" s="3024">
        <f t="shared" si="50"/>
        <v>84.17</v>
      </c>
      <c r="L803" s="3024">
        <f t="shared" si="51"/>
        <v>84.17</v>
      </c>
      <c r="M803" s="3024"/>
    </row>
    <row r="804" spans="1:13">
      <c r="A804" s="3024"/>
      <c r="B804" s="3024"/>
      <c r="C804" s="3024">
        <v>-203</v>
      </c>
      <c r="D804" s="3024"/>
      <c r="E804" s="3024">
        <v>84.17</v>
      </c>
      <c r="F804" s="3024"/>
      <c r="G804" s="3024">
        <f t="shared" si="52"/>
        <v>84.17</v>
      </c>
      <c r="H804" s="3024"/>
      <c r="I804" s="3024"/>
      <c r="J804" s="3024"/>
      <c r="K804" s="3024">
        <f t="shared" si="50"/>
        <v>84.17</v>
      </c>
      <c r="L804" s="3024">
        <f t="shared" si="51"/>
        <v>84.17</v>
      </c>
      <c r="M804" s="3024"/>
    </row>
    <row r="805" spans="1:13">
      <c r="A805" s="3024"/>
      <c r="B805" s="3024"/>
      <c r="C805" s="3024">
        <v>-204</v>
      </c>
      <c r="D805" s="3024"/>
      <c r="E805" s="3024">
        <v>83.45</v>
      </c>
      <c r="F805" s="3024"/>
      <c r="G805" s="3024">
        <f t="shared" si="52"/>
        <v>83.45</v>
      </c>
      <c r="H805" s="3024"/>
      <c r="I805" s="3024"/>
      <c r="J805" s="3024"/>
      <c r="K805" s="3024">
        <f t="shared" si="50"/>
        <v>83.45</v>
      </c>
      <c r="L805" s="3024">
        <f t="shared" si="51"/>
        <v>83.45</v>
      </c>
      <c r="M805" s="3024"/>
    </row>
    <row r="806" spans="1:13">
      <c r="A806" s="3024"/>
      <c r="B806" s="3024"/>
      <c r="C806" s="3024">
        <v>-205</v>
      </c>
      <c r="D806" s="3024"/>
      <c r="E806" s="3024">
        <v>84.17</v>
      </c>
      <c r="F806" s="3024"/>
      <c r="G806" s="3024">
        <f t="shared" si="52"/>
        <v>84.17</v>
      </c>
      <c r="H806" s="3024"/>
      <c r="I806" s="3024"/>
      <c r="J806" s="3024"/>
      <c r="K806" s="3024">
        <f t="shared" si="50"/>
        <v>84.17</v>
      </c>
      <c r="L806" s="3024">
        <f t="shared" si="51"/>
        <v>84.17</v>
      </c>
      <c r="M806" s="3024"/>
    </row>
    <row r="807" spans="1:13">
      <c r="A807" s="3024"/>
      <c r="B807" s="3024"/>
      <c r="C807" s="3024">
        <v>-206</v>
      </c>
      <c r="D807" s="3024"/>
      <c r="E807" s="3024">
        <v>84.17</v>
      </c>
      <c r="F807" s="3024"/>
      <c r="G807" s="3024">
        <f t="shared" si="52"/>
        <v>84.17</v>
      </c>
      <c r="H807" s="3024"/>
      <c r="I807" s="3024"/>
      <c r="J807" s="3024"/>
      <c r="K807" s="3024">
        <f t="shared" si="50"/>
        <v>84.17</v>
      </c>
      <c r="L807" s="3024">
        <f t="shared" si="51"/>
        <v>84.17</v>
      </c>
      <c r="M807" s="3024"/>
    </row>
    <row r="808" spans="1:13">
      <c r="A808" s="3024"/>
      <c r="B808" s="3024"/>
      <c r="C808" s="3024">
        <v>101</v>
      </c>
      <c r="D808" s="3024">
        <v>134.29</v>
      </c>
      <c r="E808" s="3024">
        <v>84.35</v>
      </c>
      <c r="F808" s="3024"/>
      <c r="G808" s="3024">
        <f t="shared" si="52"/>
        <v>218.64</v>
      </c>
      <c r="H808" s="3024"/>
      <c r="I808" s="3024"/>
      <c r="J808" s="3024">
        <f>J796</f>
        <v>108.67</v>
      </c>
      <c r="K808" s="3024">
        <f t="shared" si="50"/>
        <v>109.96999999999998</v>
      </c>
      <c r="L808" s="3024">
        <f t="shared" si="51"/>
        <v>218.64</v>
      </c>
      <c r="M808" s="3024">
        <f>SUM(J808:J813)</f>
        <v>652.01</v>
      </c>
    </row>
    <row r="809" spans="1:13">
      <c r="A809" s="3024"/>
      <c r="B809" s="3024"/>
      <c r="C809" s="3024">
        <v>102</v>
      </c>
      <c r="D809" s="3024">
        <v>134.28</v>
      </c>
      <c r="E809" s="3024">
        <v>84.49</v>
      </c>
      <c r="F809" s="3024"/>
      <c r="G809" s="3024">
        <f t="shared" si="52"/>
        <v>218.76999999999998</v>
      </c>
      <c r="H809" s="3024"/>
      <c r="I809" s="3024"/>
      <c r="J809" s="3024">
        <f>J808</f>
        <v>108.67</v>
      </c>
      <c r="K809" s="3024">
        <f t="shared" si="50"/>
        <v>110.09999999999998</v>
      </c>
      <c r="L809" s="3024">
        <f t="shared" si="51"/>
        <v>218.76999999999998</v>
      </c>
      <c r="M809" s="3024"/>
    </row>
    <row r="810" spans="1:13">
      <c r="A810" s="3024"/>
      <c r="B810" s="3024"/>
      <c r="C810" s="3024">
        <v>103</v>
      </c>
      <c r="D810" s="3024">
        <v>134.47</v>
      </c>
      <c r="E810" s="3024">
        <v>84.77</v>
      </c>
      <c r="F810" s="3024"/>
      <c r="G810" s="3024">
        <f t="shared" si="52"/>
        <v>219.24</v>
      </c>
      <c r="H810" s="3024"/>
      <c r="I810" s="3024"/>
      <c r="J810" s="3024">
        <f>J808</f>
        <v>108.67</v>
      </c>
      <c r="K810" s="3024">
        <f t="shared" ref="K810:K841" si="53">G810-J810</f>
        <v>110.57000000000001</v>
      </c>
      <c r="L810" s="3024">
        <f t="shared" si="51"/>
        <v>219.24</v>
      </c>
      <c r="M810" s="3024"/>
    </row>
    <row r="811" spans="1:13">
      <c r="A811" s="3024"/>
      <c r="B811" s="3024"/>
      <c r="C811" s="3024">
        <v>104</v>
      </c>
      <c r="D811" s="3024">
        <v>134.29</v>
      </c>
      <c r="E811" s="3024">
        <v>84.35</v>
      </c>
      <c r="F811" s="3024"/>
      <c r="G811" s="3024">
        <f t="shared" si="52"/>
        <v>218.64</v>
      </c>
      <c r="H811" s="3024"/>
      <c r="I811" s="3024"/>
      <c r="J811" s="3024">
        <f>J808</f>
        <v>108.67</v>
      </c>
      <c r="K811" s="3024">
        <f t="shared" si="53"/>
        <v>109.96999999999998</v>
      </c>
      <c r="L811" s="3024">
        <f t="shared" si="51"/>
        <v>218.64</v>
      </c>
      <c r="M811" s="3024"/>
    </row>
    <row r="812" spans="1:13">
      <c r="A812" s="3024"/>
      <c r="B812" s="3024"/>
      <c r="C812" s="3024">
        <v>105</v>
      </c>
      <c r="D812" s="3024">
        <v>134.28</v>
      </c>
      <c r="E812" s="3024">
        <v>84.49</v>
      </c>
      <c r="F812" s="3024"/>
      <c r="G812" s="3024">
        <f t="shared" si="52"/>
        <v>218.76999999999998</v>
      </c>
      <c r="H812" s="3024"/>
      <c r="I812" s="3024"/>
      <c r="J812" s="3024">
        <f>J808</f>
        <v>108.67</v>
      </c>
      <c r="K812" s="3024">
        <f t="shared" si="53"/>
        <v>110.09999999999998</v>
      </c>
      <c r="L812" s="3024">
        <f t="shared" si="51"/>
        <v>218.76999999999998</v>
      </c>
      <c r="M812" s="3024"/>
    </row>
    <row r="813" spans="1:13">
      <c r="A813" s="3024"/>
      <c r="B813" s="3024"/>
      <c r="C813" s="3024">
        <v>106</v>
      </c>
      <c r="D813" s="3024">
        <v>134.47</v>
      </c>
      <c r="E813" s="3024">
        <v>84.77</v>
      </c>
      <c r="F813" s="3024"/>
      <c r="G813" s="3024">
        <f t="shared" si="52"/>
        <v>219.24</v>
      </c>
      <c r="H813" s="3024"/>
      <c r="I813" s="3024"/>
      <c r="J813" s="3024">
        <f>J801</f>
        <v>108.66</v>
      </c>
      <c r="K813" s="3024">
        <f t="shared" si="53"/>
        <v>110.58000000000001</v>
      </c>
      <c r="L813" s="3024">
        <f t="shared" si="51"/>
        <v>219.24</v>
      </c>
      <c r="M813" s="3024"/>
    </row>
    <row r="814" spans="1:13">
      <c r="A814" s="3024" t="s">
        <v>3152</v>
      </c>
      <c r="B814" s="3024">
        <v>4</v>
      </c>
      <c r="C814" s="3024">
        <v>-201</v>
      </c>
      <c r="D814" s="3024"/>
      <c r="E814" s="3024">
        <v>83.6</v>
      </c>
      <c r="F814" s="3024"/>
      <c r="G814" s="3024">
        <f t="shared" si="52"/>
        <v>83.6</v>
      </c>
      <c r="H814" s="3024">
        <f>SUM(G814:G821)</f>
        <v>1213.9399999999998</v>
      </c>
      <c r="I814" s="3024"/>
      <c r="J814" s="3024"/>
      <c r="K814" s="3024">
        <f t="shared" si="53"/>
        <v>83.6</v>
      </c>
      <c r="L814" s="3024">
        <f t="shared" si="51"/>
        <v>83.6</v>
      </c>
      <c r="M814" s="3024"/>
    </row>
    <row r="815" spans="1:13">
      <c r="A815" s="3024"/>
      <c r="B815" s="3024"/>
      <c r="C815" s="3024">
        <v>-202</v>
      </c>
      <c r="D815" s="3024"/>
      <c r="E815" s="3024">
        <v>84.32</v>
      </c>
      <c r="F815" s="3024"/>
      <c r="G815" s="3024">
        <f t="shared" si="52"/>
        <v>84.32</v>
      </c>
      <c r="H815" s="3024"/>
      <c r="I815" s="3024"/>
      <c r="J815" s="3024"/>
      <c r="K815" s="3024">
        <f t="shared" si="53"/>
        <v>84.32</v>
      </c>
      <c r="L815" s="3024">
        <f t="shared" si="51"/>
        <v>84.32</v>
      </c>
      <c r="M815" s="3024"/>
    </row>
    <row r="816" spans="1:13">
      <c r="A816" s="3024"/>
      <c r="B816" s="3024"/>
      <c r="C816" s="3024">
        <v>-203</v>
      </c>
      <c r="D816" s="3024"/>
      <c r="E816" s="3024">
        <v>83.6</v>
      </c>
      <c r="F816" s="3024"/>
      <c r="G816" s="3024">
        <f t="shared" si="52"/>
        <v>83.6</v>
      </c>
      <c r="H816" s="3024"/>
      <c r="I816" s="3024"/>
      <c r="J816" s="3024"/>
      <c r="K816" s="3024">
        <f t="shared" si="53"/>
        <v>83.6</v>
      </c>
      <c r="L816" s="3024">
        <f t="shared" si="51"/>
        <v>83.6</v>
      </c>
      <c r="M816" s="3024"/>
    </row>
    <row r="817" spans="1:13">
      <c r="A817" s="3024"/>
      <c r="B817" s="3024"/>
      <c r="C817" s="3024">
        <v>-204</v>
      </c>
      <c r="D817" s="3024"/>
      <c r="E817" s="3024">
        <v>84.32</v>
      </c>
      <c r="F817" s="3024"/>
      <c r="G817" s="3024">
        <f t="shared" si="52"/>
        <v>84.32</v>
      </c>
      <c r="H817" s="3024"/>
      <c r="I817" s="3024"/>
      <c r="J817" s="3024"/>
      <c r="K817" s="3024">
        <f t="shared" si="53"/>
        <v>84.32</v>
      </c>
      <c r="L817" s="3024">
        <f t="shared" si="51"/>
        <v>84.32</v>
      </c>
      <c r="M817" s="3024"/>
    </row>
    <row r="818" spans="1:13">
      <c r="A818" s="3024"/>
      <c r="B818" s="3024"/>
      <c r="C818" s="3024">
        <v>101</v>
      </c>
      <c r="D818" s="3024">
        <v>134.63999999999999</v>
      </c>
      <c r="E818" s="3024">
        <v>84.58</v>
      </c>
      <c r="F818" s="3024"/>
      <c r="G818" s="3024">
        <f t="shared" si="52"/>
        <v>219.21999999999997</v>
      </c>
      <c r="H818" s="3024"/>
      <c r="I818" s="3024"/>
      <c r="J818" s="3024">
        <f>J786</f>
        <v>108.89</v>
      </c>
      <c r="K818" s="3024">
        <f t="shared" si="53"/>
        <v>110.32999999999997</v>
      </c>
      <c r="L818" s="3024">
        <f t="shared" si="51"/>
        <v>219.21999999999997</v>
      </c>
      <c r="M818" s="3024">
        <f>SUM(J818:J821)</f>
        <v>435.56</v>
      </c>
    </row>
    <row r="819" spans="1:13">
      <c r="A819" s="3024"/>
      <c r="B819" s="3024"/>
      <c r="C819" s="3024">
        <v>102</v>
      </c>
      <c r="D819" s="3024">
        <v>134.83000000000001</v>
      </c>
      <c r="E819" s="3024">
        <v>85</v>
      </c>
      <c r="F819" s="3024"/>
      <c r="G819" s="3024">
        <f t="shared" si="52"/>
        <v>219.83</v>
      </c>
      <c r="H819" s="3024"/>
      <c r="I819" s="3024"/>
      <c r="J819" s="3024">
        <f>J818</f>
        <v>108.89</v>
      </c>
      <c r="K819" s="3024">
        <f t="shared" si="53"/>
        <v>110.94000000000001</v>
      </c>
      <c r="L819" s="3024">
        <f t="shared" si="51"/>
        <v>219.83</v>
      </c>
      <c r="M819" s="3024"/>
    </row>
    <row r="820" spans="1:13">
      <c r="A820" s="3024"/>
      <c r="B820" s="3024"/>
      <c r="C820" s="3024">
        <v>103</v>
      </c>
      <c r="D820" s="3024">
        <v>134.63999999999999</v>
      </c>
      <c r="E820" s="3024">
        <v>84.58</v>
      </c>
      <c r="F820" s="3024"/>
      <c r="G820" s="3024">
        <f t="shared" si="52"/>
        <v>219.21999999999997</v>
      </c>
      <c r="H820" s="3024"/>
      <c r="I820" s="3024"/>
      <c r="J820" s="3024">
        <f>J818</f>
        <v>108.89</v>
      </c>
      <c r="K820" s="3024">
        <f t="shared" si="53"/>
        <v>110.32999999999997</v>
      </c>
      <c r="L820" s="3024">
        <f t="shared" si="51"/>
        <v>219.21999999999997</v>
      </c>
      <c r="M820" s="3024"/>
    </row>
    <row r="821" spans="1:13">
      <c r="A821" s="3024"/>
      <c r="B821" s="3024"/>
      <c r="C821" s="3024">
        <v>104</v>
      </c>
      <c r="D821" s="3024">
        <v>134.83000000000001</v>
      </c>
      <c r="E821" s="3024">
        <v>85</v>
      </c>
      <c r="F821" s="3024"/>
      <c r="G821" s="3024">
        <f t="shared" si="52"/>
        <v>219.83</v>
      </c>
      <c r="H821" s="3024"/>
      <c r="I821" s="3024"/>
      <c r="J821" s="3024">
        <f>J818</f>
        <v>108.89</v>
      </c>
      <c r="K821" s="3024">
        <f t="shared" si="53"/>
        <v>110.94000000000001</v>
      </c>
      <c r="L821" s="3024">
        <f t="shared" si="51"/>
        <v>219.83</v>
      </c>
      <c r="M821" s="3024"/>
    </row>
    <row r="822" spans="1:13">
      <c r="A822" s="3024" t="s">
        <v>3153</v>
      </c>
      <c r="B822" s="3024">
        <v>4</v>
      </c>
      <c r="C822" s="3024">
        <v>-201</v>
      </c>
      <c r="D822" s="3024"/>
      <c r="E822" s="3024">
        <v>83.6</v>
      </c>
      <c r="F822" s="3024"/>
      <c r="G822" s="3024">
        <f t="shared" si="52"/>
        <v>83.6</v>
      </c>
      <c r="H822" s="3024">
        <f>SUM(G822:G829)</f>
        <v>1213.78</v>
      </c>
      <c r="I822" s="3024"/>
      <c r="J822" s="3024"/>
      <c r="K822" s="3024">
        <f t="shared" si="53"/>
        <v>83.6</v>
      </c>
      <c r="L822" s="3024">
        <f t="shared" si="51"/>
        <v>83.6</v>
      </c>
      <c r="M822" s="3024"/>
    </row>
    <row r="823" spans="1:13">
      <c r="A823" s="3024"/>
      <c r="B823" s="3024"/>
      <c r="C823" s="3024">
        <v>-202</v>
      </c>
      <c r="D823" s="3024"/>
      <c r="E823" s="3024">
        <v>84.32</v>
      </c>
      <c r="F823" s="3024"/>
      <c r="G823" s="3024">
        <f t="shared" si="52"/>
        <v>84.32</v>
      </c>
      <c r="H823" s="3024"/>
      <c r="I823" s="3024"/>
      <c r="J823" s="3024"/>
      <c r="K823" s="3024">
        <f t="shared" si="53"/>
        <v>84.32</v>
      </c>
      <c r="L823" s="3024">
        <f t="shared" si="51"/>
        <v>84.32</v>
      </c>
      <c r="M823" s="3024"/>
    </row>
    <row r="824" spans="1:13">
      <c r="A824" s="3024"/>
      <c r="B824" s="3024"/>
      <c r="C824" s="3024">
        <v>-203</v>
      </c>
      <c r="D824" s="3024"/>
      <c r="E824" s="3024">
        <v>83.6</v>
      </c>
      <c r="F824" s="3024"/>
      <c r="G824" s="3024">
        <f t="shared" si="52"/>
        <v>83.6</v>
      </c>
      <c r="H824" s="3024"/>
      <c r="I824" s="3024"/>
      <c r="J824" s="3024"/>
      <c r="K824" s="3024">
        <f t="shared" si="53"/>
        <v>83.6</v>
      </c>
      <c r="L824" s="3024">
        <f t="shared" si="51"/>
        <v>83.6</v>
      </c>
      <c r="M824" s="3024"/>
    </row>
    <row r="825" spans="1:13">
      <c r="A825" s="3024"/>
      <c r="B825" s="3024"/>
      <c r="C825" s="3024">
        <v>-204</v>
      </c>
      <c r="D825" s="3024"/>
      <c r="E825" s="3024">
        <v>84.32</v>
      </c>
      <c r="F825" s="3024"/>
      <c r="G825" s="3024">
        <f t="shared" si="52"/>
        <v>84.32</v>
      </c>
      <c r="H825" s="3024"/>
      <c r="I825" s="3024"/>
      <c r="J825" s="3024"/>
      <c r="K825" s="3024">
        <f t="shared" si="53"/>
        <v>84.32</v>
      </c>
      <c r="L825" s="3024">
        <f t="shared" si="51"/>
        <v>84.32</v>
      </c>
      <c r="M825" s="3024"/>
    </row>
    <row r="826" spans="1:13">
      <c r="A826" s="3024"/>
      <c r="B826" s="3024"/>
      <c r="C826" s="3024">
        <v>101</v>
      </c>
      <c r="D826" s="3024">
        <v>134.62</v>
      </c>
      <c r="E826" s="3024">
        <v>84.56</v>
      </c>
      <c r="F826" s="3024"/>
      <c r="G826" s="3024">
        <f t="shared" si="52"/>
        <v>219.18</v>
      </c>
      <c r="H826" s="3024"/>
      <c r="I826" s="3024"/>
      <c r="J826" s="3024">
        <f>J818</f>
        <v>108.89</v>
      </c>
      <c r="K826" s="3024">
        <f t="shared" si="53"/>
        <v>110.29</v>
      </c>
      <c r="L826" s="3024">
        <f t="shared" si="51"/>
        <v>219.18</v>
      </c>
      <c r="M826" s="3024">
        <f>SUM(J826:J829)</f>
        <v>435.56</v>
      </c>
    </row>
    <row r="827" spans="1:13">
      <c r="A827" s="3024"/>
      <c r="B827" s="3024"/>
      <c r="C827" s="3024">
        <v>102</v>
      </c>
      <c r="D827" s="3024">
        <v>134.81</v>
      </c>
      <c r="E827" s="3024">
        <v>84.98</v>
      </c>
      <c r="F827" s="3024"/>
      <c r="G827" s="3024">
        <f t="shared" si="52"/>
        <v>219.79000000000002</v>
      </c>
      <c r="H827" s="3024"/>
      <c r="I827" s="3024"/>
      <c r="J827" s="3024">
        <f>J819</f>
        <v>108.89</v>
      </c>
      <c r="K827" s="3024">
        <f t="shared" si="53"/>
        <v>110.90000000000002</v>
      </c>
      <c r="L827" s="3024">
        <f t="shared" si="51"/>
        <v>219.79000000000002</v>
      </c>
      <c r="M827" s="3024"/>
    </row>
    <row r="828" spans="1:13">
      <c r="A828" s="3024"/>
      <c r="B828" s="3024"/>
      <c r="C828" s="3024">
        <v>103</v>
      </c>
      <c r="D828" s="3024">
        <v>134.62</v>
      </c>
      <c r="E828" s="3024">
        <v>84.56</v>
      </c>
      <c r="F828" s="3024"/>
      <c r="G828" s="3024">
        <f t="shared" si="52"/>
        <v>219.18</v>
      </c>
      <c r="H828" s="3024"/>
      <c r="I828" s="3024"/>
      <c r="J828" s="3024">
        <f>J820</f>
        <v>108.89</v>
      </c>
      <c r="K828" s="3024">
        <f t="shared" si="53"/>
        <v>110.29</v>
      </c>
      <c r="L828" s="3024">
        <f t="shared" si="51"/>
        <v>219.18</v>
      </c>
      <c r="M828" s="3024"/>
    </row>
    <row r="829" spans="1:13">
      <c r="A829" s="3024"/>
      <c r="B829" s="3024"/>
      <c r="C829" s="3024">
        <v>104</v>
      </c>
      <c r="D829" s="3024">
        <v>134.81</v>
      </c>
      <c r="E829" s="3024">
        <v>84.98</v>
      </c>
      <c r="F829" s="3024"/>
      <c r="G829" s="3024">
        <f t="shared" si="52"/>
        <v>219.79000000000002</v>
      </c>
      <c r="H829" s="3024"/>
      <c r="I829" s="3024"/>
      <c r="J829" s="3024">
        <f>J821</f>
        <v>108.89</v>
      </c>
      <c r="K829" s="3024">
        <f t="shared" si="53"/>
        <v>110.90000000000002</v>
      </c>
      <c r="L829" s="3024">
        <f t="shared" si="51"/>
        <v>219.79000000000002</v>
      </c>
      <c r="M829" s="3024"/>
    </row>
    <row r="830" spans="1:13">
      <c r="A830" s="3024" t="s">
        <v>3154</v>
      </c>
      <c r="B830" s="3024">
        <v>6</v>
      </c>
      <c r="C830" s="3024">
        <v>-201</v>
      </c>
      <c r="D830" s="3024"/>
      <c r="E830" s="3024">
        <v>83.44</v>
      </c>
      <c r="F830" s="3024"/>
      <c r="G830" s="3024">
        <f t="shared" si="52"/>
        <v>83.44</v>
      </c>
      <c r="H830" s="3024">
        <f>SUM(G830:G841)</f>
        <v>1816.3200000000002</v>
      </c>
      <c r="I830" s="3024"/>
      <c r="J830" s="3024"/>
      <c r="K830" s="3024">
        <f t="shared" si="53"/>
        <v>83.44</v>
      </c>
      <c r="L830" s="3024">
        <f t="shared" si="51"/>
        <v>83.44</v>
      </c>
      <c r="M830" s="3024"/>
    </row>
    <row r="831" spans="1:13">
      <c r="A831" s="3024"/>
      <c r="B831" s="3024"/>
      <c r="C831" s="3024">
        <v>-202</v>
      </c>
      <c r="D831" s="3024"/>
      <c r="E831" s="3024">
        <v>84.16</v>
      </c>
      <c r="F831" s="3024"/>
      <c r="G831" s="3024">
        <f t="shared" si="52"/>
        <v>84.16</v>
      </c>
      <c r="H831" s="3024"/>
      <c r="I831" s="3024"/>
      <c r="J831" s="3024"/>
      <c r="K831" s="3024">
        <f t="shared" si="53"/>
        <v>84.16</v>
      </c>
      <c r="L831" s="3024">
        <f t="shared" si="51"/>
        <v>84.16</v>
      </c>
      <c r="M831" s="3024"/>
    </row>
    <row r="832" spans="1:13">
      <c r="A832" s="3024"/>
      <c r="B832" s="3024"/>
      <c r="C832" s="3024">
        <v>-203</v>
      </c>
      <c r="D832" s="3024"/>
      <c r="E832" s="3024">
        <v>84.16</v>
      </c>
      <c r="F832" s="3024"/>
      <c r="G832" s="3024">
        <f t="shared" si="52"/>
        <v>84.16</v>
      </c>
      <c r="H832" s="3024"/>
      <c r="I832" s="3024"/>
      <c r="J832" s="3024"/>
      <c r="K832" s="3024">
        <f t="shared" si="53"/>
        <v>84.16</v>
      </c>
      <c r="L832" s="3024">
        <f t="shared" si="51"/>
        <v>84.16</v>
      </c>
      <c r="M832" s="3024"/>
    </row>
    <row r="833" spans="1:13">
      <c r="A833" s="3024"/>
      <c r="B833" s="3024"/>
      <c r="C833" s="3024">
        <v>-204</v>
      </c>
      <c r="D833" s="3024"/>
      <c r="E833" s="3024">
        <v>83.44</v>
      </c>
      <c r="F833" s="3024"/>
      <c r="G833" s="3024">
        <f t="shared" si="52"/>
        <v>83.44</v>
      </c>
      <c r="H833" s="3024"/>
      <c r="I833" s="3024"/>
      <c r="J833" s="3024"/>
      <c r="K833" s="3024">
        <f t="shared" si="53"/>
        <v>83.44</v>
      </c>
      <c r="L833" s="3024">
        <f t="shared" si="51"/>
        <v>83.44</v>
      </c>
      <c r="M833" s="3024"/>
    </row>
    <row r="834" spans="1:13">
      <c r="A834" s="3024"/>
      <c r="B834" s="3024"/>
      <c r="C834" s="3024">
        <v>-205</v>
      </c>
      <c r="D834" s="3024"/>
      <c r="E834" s="3024">
        <v>84.16</v>
      </c>
      <c r="F834" s="3024"/>
      <c r="G834" s="3024">
        <f t="shared" si="52"/>
        <v>84.16</v>
      </c>
      <c r="H834" s="3024"/>
      <c r="I834" s="3024"/>
      <c r="J834" s="3024"/>
      <c r="K834" s="3024">
        <f t="shared" si="53"/>
        <v>84.16</v>
      </c>
      <c r="L834" s="3024">
        <f t="shared" si="51"/>
        <v>84.16</v>
      </c>
      <c r="M834" s="3024"/>
    </row>
    <row r="835" spans="1:13">
      <c r="A835" s="3024"/>
      <c r="B835" s="3024"/>
      <c r="C835" s="3024">
        <v>-206</v>
      </c>
      <c r="D835" s="3024"/>
      <c r="E835" s="3024">
        <v>84.16</v>
      </c>
      <c r="F835" s="3024"/>
      <c r="G835" s="3024">
        <f t="shared" si="52"/>
        <v>84.16</v>
      </c>
      <c r="H835" s="3024"/>
      <c r="I835" s="3024"/>
      <c r="J835" s="3024"/>
      <c r="K835" s="3024">
        <f t="shared" si="53"/>
        <v>84.16</v>
      </c>
      <c r="L835" s="3024">
        <f t="shared" si="51"/>
        <v>84.16</v>
      </c>
      <c r="M835" s="3024"/>
    </row>
    <row r="836" spans="1:13">
      <c r="A836" s="3024"/>
      <c r="B836" s="3024"/>
      <c r="C836" s="3024">
        <v>101</v>
      </c>
      <c r="D836" s="3024">
        <v>134.22999999999999</v>
      </c>
      <c r="E836" s="3024">
        <v>84.32</v>
      </c>
      <c r="F836" s="3024"/>
      <c r="G836" s="3024">
        <f t="shared" si="52"/>
        <v>218.54999999999998</v>
      </c>
      <c r="H836" s="3024"/>
      <c r="I836" s="3024"/>
      <c r="J836" s="3024">
        <f>J808</f>
        <v>108.67</v>
      </c>
      <c r="K836" s="3024">
        <f t="shared" si="53"/>
        <v>109.87999999999998</v>
      </c>
      <c r="L836" s="3024">
        <f t="shared" si="51"/>
        <v>218.54999999999998</v>
      </c>
      <c r="M836" s="3024">
        <f>SUM(J836:J841)</f>
        <v>652.01</v>
      </c>
    </row>
    <row r="837" spans="1:13">
      <c r="A837" s="3024"/>
      <c r="B837" s="3024"/>
      <c r="C837" s="3024">
        <v>102</v>
      </c>
      <c r="D837" s="3024">
        <v>134.22999999999999</v>
      </c>
      <c r="E837" s="3024">
        <v>84.46</v>
      </c>
      <c r="F837" s="3024"/>
      <c r="G837" s="3024">
        <f t="shared" si="52"/>
        <v>218.69</v>
      </c>
      <c r="H837" s="3024"/>
      <c r="I837" s="3024"/>
      <c r="J837" s="3024">
        <f>J836</f>
        <v>108.67</v>
      </c>
      <c r="K837" s="3024">
        <f t="shared" si="53"/>
        <v>110.02</v>
      </c>
      <c r="L837" s="3024">
        <f t="shared" si="51"/>
        <v>218.69</v>
      </c>
      <c r="M837" s="3024"/>
    </row>
    <row r="838" spans="1:13">
      <c r="A838" s="3024"/>
      <c r="B838" s="3024"/>
      <c r="C838" s="3024">
        <v>103</v>
      </c>
      <c r="D838" s="3024">
        <v>134.43</v>
      </c>
      <c r="E838" s="3024">
        <v>84.73</v>
      </c>
      <c r="F838" s="3024"/>
      <c r="G838" s="3024">
        <f t="shared" si="52"/>
        <v>219.16000000000003</v>
      </c>
      <c r="H838" s="3024"/>
      <c r="I838" s="3024"/>
      <c r="J838" s="3024">
        <f>J836</f>
        <v>108.67</v>
      </c>
      <c r="K838" s="3024">
        <f t="shared" si="53"/>
        <v>110.49000000000002</v>
      </c>
      <c r="L838" s="3024">
        <f t="shared" si="51"/>
        <v>219.16000000000003</v>
      </c>
      <c r="M838" s="3024"/>
    </row>
    <row r="839" spans="1:13">
      <c r="A839" s="3024"/>
      <c r="B839" s="3024"/>
      <c r="C839" s="3024">
        <v>104</v>
      </c>
      <c r="D839" s="3024">
        <v>134.22999999999999</v>
      </c>
      <c r="E839" s="3024">
        <v>84.32</v>
      </c>
      <c r="F839" s="3024"/>
      <c r="G839" s="3024">
        <f t="shared" si="52"/>
        <v>218.54999999999998</v>
      </c>
      <c r="H839" s="3024"/>
      <c r="I839" s="3024"/>
      <c r="J839" s="3024">
        <f>J836</f>
        <v>108.67</v>
      </c>
      <c r="K839" s="3024">
        <f t="shared" si="53"/>
        <v>109.87999999999998</v>
      </c>
      <c r="L839" s="3024">
        <f t="shared" si="51"/>
        <v>218.54999999999998</v>
      </c>
      <c r="M839" s="3024"/>
    </row>
    <row r="840" spans="1:13">
      <c r="A840" s="3024"/>
      <c r="B840" s="3024"/>
      <c r="C840" s="3024">
        <v>105</v>
      </c>
      <c r="D840" s="3024">
        <v>134.22999999999999</v>
      </c>
      <c r="E840" s="3024">
        <v>84.46</v>
      </c>
      <c r="F840" s="3024"/>
      <c r="G840" s="3024">
        <f t="shared" si="52"/>
        <v>218.69</v>
      </c>
      <c r="H840" s="3024"/>
      <c r="I840" s="3024"/>
      <c r="J840" s="3024">
        <f>J836</f>
        <v>108.67</v>
      </c>
      <c r="K840" s="3024">
        <f t="shared" si="53"/>
        <v>110.02</v>
      </c>
      <c r="L840" s="3024">
        <f t="shared" si="51"/>
        <v>218.69</v>
      </c>
      <c r="M840" s="3024"/>
    </row>
    <row r="841" spans="1:13">
      <c r="A841" s="3024"/>
      <c r="B841" s="3024"/>
      <c r="C841" s="3024">
        <v>106</v>
      </c>
      <c r="D841" s="3024">
        <v>134.43</v>
      </c>
      <c r="E841" s="3024">
        <v>84.73</v>
      </c>
      <c r="F841" s="3024"/>
      <c r="G841" s="3024">
        <f t="shared" si="52"/>
        <v>219.16000000000003</v>
      </c>
      <c r="H841" s="3024"/>
      <c r="I841" s="3024"/>
      <c r="J841" s="3024">
        <v>108.66</v>
      </c>
      <c r="K841" s="3024">
        <f t="shared" si="53"/>
        <v>110.50000000000003</v>
      </c>
      <c r="L841" s="3024">
        <f t="shared" si="51"/>
        <v>219.16000000000003</v>
      </c>
      <c r="M841" s="3024"/>
    </row>
    <row r="842" spans="1:13">
      <c r="A842" s="3162" t="s">
        <v>3357</v>
      </c>
      <c r="B842" s="3162"/>
      <c r="C842" s="3162"/>
      <c r="D842" s="3024">
        <f>SUM(D2:D841)</f>
        <v>57695.749999999942</v>
      </c>
      <c r="E842" s="3024">
        <f>SUM(E2:E841)</f>
        <v>73075.350000000006</v>
      </c>
      <c r="F842" s="3024"/>
      <c r="G842" s="3026">
        <f>SUM(G2:G841)</f>
        <v>130771.10000000008</v>
      </c>
      <c r="H842" s="3024"/>
      <c r="I842" s="3024"/>
      <c r="J842" s="3024">
        <f>SUM(J2:J841)</f>
        <v>46710.839999999844</v>
      </c>
      <c r="K842" s="3024">
        <f>SUM(K2:K841)</f>
        <v>84060.259999999951</v>
      </c>
      <c r="L842" s="3024">
        <f>SUM(L2:L841)</f>
        <v>130771.10000000008</v>
      </c>
      <c r="M842" s="3024">
        <f>SUM(M2:M841)</f>
        <v>46710.84</v>
      </c>
    </row>
    <row r="843" spans="1:13">
      <c r="F843" s="3029">
        <f>45.51*840</f>
        <v>38228.400000000001</v>
      </c>
      <c r="K843" s="3030"/>
    </row>
  </sheetData>
  <mergeCells count="1">
    <mergeCell ref="A842:C842"/>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2"/>
  <sheetViews>
    <sheetView topLeftCell="A58" workbookViewId="0">
      <selection activeCell="I53" sqref="I53"/>
    </sheetView>
  </sheetViews>
  <sheetFormatPr defaultRowHeight="13.5"/>
  <sheetData>
    <row r="1" spans="1:3" ht="18.75">
      <c r="A1" s="3006"/>
      <c r="B1" s="3006" t="s">
        <v>3511</v>
      </c>
      <c r="C1" s="3006" t="s">
        <v>37</v>
      </c>
    </row>
    <row r="2" spans="1:3">
      <c r="A2" s="3163" t="s">
        <v>3512</v>
      </c>
      <c r="B2" s="3043">
        <v>-201</v>
      </c>
      <c r="C2" s="3033">
        <v>114.3</v>
      </c>
    </row>
    <row r="3" spans="1:3">
      <c r="A3" s="3164"/>
      <c r="B3" s="3033">
        <v>-202</v>
      </c>
      <c r="C3" s="3033">
        <v>115.27</v>
      </c>
    </row>
    <row r="4" spans="1:3">
      <c r="A4" s="3164"/>
      <c r="B4" s="3043">
        <v>101</v>
      </c>
      <c r="C4" s="3033">
        <v>293.85000000000002</v>
      </c>
    </row>
    <row r="5" spans="1:3">
      <c r="A5" s="3165"/>
      <c r="B5" s="3033">
        <v>102</v>
      </c>
      <c r="C5" s="3033">
        <v>294.32</v>
      </c>
    </row>
    <row r="6" spans="1:3">
      <c r="A6" s="3033" t="s">
        <v>3086</v>
      </c>
      <c r="B6" s="3044">
        <v>-201</v>
      </c>
      <c r="C6" s="3033">
        <v>114.28</v>
      </c>
    </row>
    <row r="7" spans="1:3">
      <c r="A7" s="3033"/>
      <c r="B7" s="3033">
        <v>-202</v>
      </c>
      <c r="C7" s="3033">
        <v>115.26</v>
      </c>
    </row>
    <row r="8" spans="1:3">
      <c r="A8" s="3033"/>
      <c r="B8" s="3033">
        <v>101</v>
      </c>
      <c r="C8" s="3033">
        <v>293.72000000000003</v>
      </c>
    </row>
    <row r="9" spans="1:3">
      <c r="A9" s="3033"/>
      <c r="B9" s="3033">
        <v>102</v>
      </c>
      <c r="C9" s="3033">
        <v>294.19</v>
      </c>
    </row>
    <row r="10" spans="1:3">
      <c r="A10" s="3033" t="s">
        <v>3087</v>
      </c>
      <c r="B10" s="3033">
        <v>-201</v>
      </c>
      <c r="C10" s="3033">
        <v>83.88</v>
      </c>
    </row>
    <row r="11" spans="1:3">
      <c r="A11" s="3033"/>
      <c r="B11" s="3033">
        <v>-202</v>
      </c>
      <c r="C11" s="3033">
        <v>84.6</v>
      </c>
    </row>
    <row r="12" spans="1:3">
      <c r="A12" s="3033"/>
      <c r="B12" s="3033">
        <v>-203</v>
      </c>
      <c r="C12" s="3033">
        <v>83.88</v>
      </c>
    </row>
    <row r="13" spans="1:3">
      <c r="A13" s="3033"/>
      <c r="B13" s="3033">
        <v>-204</v>
      </c>
      <c r="C13" s="3033">
        <v>84.6</v>
      </c>
    </row>
    <row r="14" spans="1:3">
      <c r="A14" s="3033"/>
      <c r="B14" s="3033">
        <v>101</v>
      </c>
      <c r="C14" s="3033">
        <v>219.21999999999997</v>
      </c>
    </row>
    <row r="15" spans="1:3">
      <c r="A15" s="3033"/>
      <c r="B15" s="3033">
        <v>102</v>
      </c>
      <c r="C15" s="3033">
        <v>219.82</v>
      </c>
    </row>
    <row r="16" spans="1:3">
      <c r="A16" s="3033"/>
      <c r="B16" s="3033">
        <v>103</v>
      </c>
      <c r="C16" s="3033">
        <v>219.21999999999997</v>
      </c>
    </row>
    <row r="17" spans="1:3">
      <c r="A17" s="3033"/>
      <c r="B17" s="3044">
        <v>104</v>
      </c>
      <c r="C17" s="3033">
        <v>219.82</v>
      </c>
    </row>
    <row r="18" spans="1:3">
      <c r="A18" s="3033" t="s">
        <v>3088</v>
      </c>
      <c r="B18" s="3033">
        <v>-201</v>
      </c>
      <c r="C18" s="3033">
        <v>83.43</v>
      </c>
    </row>
    <row r="19" spans="1:3">
      <c r="A19" s="3033"/>
      <c r="B19" s="3033">
        <v>-202</v>
      </c>
      <c r="C19" s="3033">
        <v>84.15</v>
      </c>
    </row>
    <row r="20" spans="1:3">
      <c r="A20" s="3033"/>
      <c r="B20" s="3033">
        <v>-203</v>
      </c>
      <c r="C20" s="3033">
        <v>84.15</v>
      </c>
    </row>
    <row r="21" spans="1:3">
      <c r="A21" s="3033"/>
      <c r="B21" s="3033">
        <v>-204</v>
      </c>
      <c r="C21" s="3033">
        <v>83.43</v>
      </c>
    </row>
    <row r="22" spans="1:3">
      <c r="A22" s="3033"/>
      <c r="B22" s="3033">
        <v>-205</v>
      </c>
      <c r="C22" s="3033">
        <v>84.15</v>
      </c>
    </row>
    <row r="23" spans="1:3">
      <c r="A23" s="3033"/>
      <c r="B23" s="3033">
        <v>-206</v>
      </c>
      <c r="C23" s="3033">
        <v>84.15</v>
      </c>
    </row>
    <row r="24" spans="1:3">
      <c r="A24" s="3033"/>
      <c r="B24" s="3033">
        <v>101</v>
      </c>
      <c r="C24" s="3033">
        <v>218.46</v>
      </c>
    </row>
    <row r="25" spans="1:3">
      <c r="A25" s="3033"/>
      <c r="B25" s="3033">
        <v>102</v>
      </c>
      <c r="C25" s="3033">
        <v>218.58999999999997</v>
      </c>
    </row>
    <row r="26" spans="1:3">
      <c r="A26" s="3033"/>
      <c r="B26" s="3033">
        <v>103</v>
      </c>
      <c r="C26" s="3033">
        <v>219.06</v>
      </c>
    </row>
    <row r="27" spans="1:3">
      <c r="A27" s="3033"/>
      <c r="B27" s="3043">
        <v>104</v>
      </c>
      <c r="C27" s="3033">
        <v>218.46</v>
      </c>
    </row>
    <row r="28" spans="1:3">
      <c r="A28" s="3033"/>
      <c r="B28" s="3033">
        <v>105</v>
      </c>
      <c r="C28" s="3033">
        <v>218.58999999999997</v>
      </c>
    </row>
    <row r="29" spans="1:3">
      <c r="A29" s="3033"/>
      <c r="B29" s="3033">
        <v>106</v>
      </c>
      <c r="C29" s="3033">
        <v>219.06</v>
      </c>
    </row>
    <row r="30" spans="1:3">
      <c r="A30" s="3033" t="s">
        <v>3089</v>
      </c>
      <c r="B30" s="3033">
        <v>-201</v>
      </c>
      <c r="C30" s="3033">
        <v>83.44</v>
      </c>
    </row>
    <row r="31" spans="1:3">
      <c r="A31" s="3033"/>
      <c r="B31" s="3033">
        <v>-202</v>
      </c>
      <c r="C31" s="3033">
        <v>84.16</v>
      </c>
    </row>
    <row r="32" spans="1:3">
      <c r="A32" s="3033"/>
      <c r="B32" s="3033">
        <v>-203</v>
      </c>
      <c r="C32" s="3033">
        <v>84.16</v>
      </c>
    </row>
    <row r="33" spans="1:3">
      <c r="A33" s="3033"/>
      <c r="B33" s="3033">
        <v>-204</v>
      </c>
      <c r="C33" s="3033">
        <v>83.44</v>
      </c>
    </row>
    <row r="34" spans="1:3">
      <c r="A34" s="3033"/>
      <c r="B34" s="3033">
        <v>-205</v>
      </c>
      <c r="C34" s="3033">
        <v>84.16</v>
      </c>
    </row>
    <row r="35" spans="1:3">
      <c r="A35" s="3033"/>
      <c r="B35" s="3033">
        <v>-206</v>
      </c>
      <c r="C35" s="3033">
        <v>84.16</v>
      </c>
    </row>
    <row r="36" spans="1:3">
      <c r="A36" s="3033"/>
      <c r="B36" s="3033">
        <v>101</v>
      </c>
      <c r="C36" s="3033">
        <v>218.54</v>
      </c>
    </row>
    <row r="37" spans="1:3">
      <c r="A37" s="3033"/>
      <c r="B37" s="3033">
        <v>102</v>
      </c>
      <c r="C37" s="3033">
        <v>218.68</v>
      </c>
    </row>
    <row r="38" spans="1:3">
      <c r="A38" s="3033"/>
      <c r="B38" s="3033">
        <v>103</v>
      </c>
      <c r="C38" s="3033">
        <v>219.14</v>
      </c>
    </row>
    <row r="39" spans="1:3">
      <c r="A39" s="3033"/>
      <c r="B39" s="3033">
        <v>104</v>
      </c>
      <c r="C39" s="3033">
        <v>218.54</v>
      </c>
    </row>
    <row r="40" spans="1:3">
      <c r="A40" s="3033"/>
      <c r="B40" s="3033">
        <v>105</v>
      </c>
      <c r="C40" s="3033">
        <v>218.68</v>
      </c>
    </row>
    <row r="41" spans="1:3">
      <c r="A41" s="3033"/>
      <c r="B41" s="3033">
        <v>106</v>
      </c>
      <c r="C41" s="3033">
        <v>219.14</v>
      </c>
    </row>
    <row r="42" spans="1:3">
      <c r="A42" s="3033" t="s">
        <v>3060</v>
      </c>
      <c r="B42" s="3033">
        <v>-201</v>
      </c>
      <c r="C42" s="3033">
        <v>83.88</v>
      </c>
    </row>
    <row r="43" spans="1:3">
      <c r="A43" s="3033"/>
      <c r="B43" s="3033">
        <v>-202</v>
      </c>
      <c r="C43" s="3033">
        <v>84.6</v>
      </c>
    </row>
    <row r="44" spans="1:3">
      <c r="A44" s="3033"/>
      <c r="B44" s="3033">
        <v>-203</v>
      </c>
      <c r="C44" s="3033">
        <v>83.88</v>
      </c>
    </row>
    <row r="45" spans="1:3">
      <c r="A45" s="3033"/>
      <c r="B45" s="3033">
        <v>-204</v>
      </c>
      <c r="C45" s="3033">
        <v>84.6</v>
      </c>
    </row>
    <row r="46" spans="1:3">
      <c r="A46" s="3033"/>
      <c r="B46" s="3033">
        <v>101</v>
      </c>
      <c r="C46" s="3033">
        <v>219.21999999999997</v>
      </c>
    </row>
    <row r="47" spans="1:3">
      <c r="A47" s="3033"/>
      <c r="B47" s="3033">
        <v>102</v>
      </c>
      <c r="C47" s="3033">
        <v>219.82</v>
      </c>
    </row>
    <row r="48" spans="1:3">
      <c r="A48" s="3033"/>
      <c r="B48" s="3033">
        <v>103</v>
      </c>
      <c r="C48" s="3033">
        <v>219.21999999999997</v>
      </c>
    </row>
    <row r="49" spans="1:7">
      <c r="A49" s="3033"/>
      <c r="B49" s="3033">
        <v>104</v>
      </c>
      <c r="C49" s="3033">
        <v>219.82</v>
      </c>
    </row>
    <row r="50" spans="1:7">
      <c r="A50" s="3033" t="s">
        <v>3090</v>
      </c>
      <c r="B50" s="3033">
        <v>-201</v>
      </c>
      <c r="C50" s="3033">
        <v>83.63</v>
      </c>
      <c r="F50" s="3010">
        <v>1</v>
      </c>
      <c r="G50" s="3011">
        <v>101</v>
      </c>
    </row>
    <row r="51" spans="1:7">
      <c r="A51" s="3033"/>
      <c r="B51" s="3033">
        <v>-202</v>
      </c>
      <c r="C51" s="3033">
        <v>84.36</v>
      </c>
      <c r="F51" s="3010">
        <v>1</v>
      </c>
      <c r="G51" s="3011">
        <v>-201</v>
      </c>
    </row>
    <row r="52" spans="1:7">
      <c r="A52" s="3033"/>
      <c r="B52" s="3033">
        <v>-203</v>
      </c>
      <c r="C52" s="3033">
        <v>84.36</v>
      </c>
      <c r="F52" s="3010">
        <v>4</v>
      </c>
      <c r="G52" s="3011">
        <v>104</v>
      </c>
    </row>
    <row r="53" spans="1:7">
      <c r="A53" s="3033"/>
      <c r="B53" s="3033">
        <v>-204</v>
      </c>
      <c r="C53" s="3033">
        <v>83.63</v>
      </c>
      <c r="F53" s="3010">
        <v>7</v>
      </c>
      <c r="G53" s="3011">
        <v>104</v>
      </c>
    </row>
    <row r="54" spans="1:7">
      <c r="A54" s="3033"/>
      <c r="B54" s="3033">
        <v>-205</v>
      </c>
      <c r="C54" s="3033">
        <v>84.36</v>
      </c>
      <c r="F54" s="3010">
        <v>7</v>
      </c>
      <c r="G54" s="3011">
        <v>-204</v>
      </c>
    </row>
    <row r="55" spans="1:7">
      <c r="A55" s="3033"/>
      <c r="B55" s="3033">
        <v>-206</v>
      </c>
      <c r="C55" s="3033">
        <v>84.36</v>
      </c>
      <c r="F55" s="3010">
        <v>9</v>
      </c>
      <c r="G55" s="3011">
        <v>-203</v>
      </c>
    </row>
    <row r="56" spans="1:7">
      <c r="A56" s="3033"/>
      <c r="B56" s="3033">
        <v>101</v>
      </c>
      <c r="C56" s="3033">
        <v>218.63</v>
      </c>
      <c r="F56" s="3010">
        <v>9</v>
      </c>
      <c r="G56" s="3011">
        <v>103</v>
      </c>
    </row>
    <row r="57" spans="1:7">
      <c r="A57" s="3033"/>
      <c r="B57" s="3033">
        <v>102</v>
      </c>
      <c r="C57" s="3033">
        <v>218.77</v>
      </c>
      <c r="F57" s="3014">
        <v>10</v>
      </c>
      <c r="G57" s="3015">
        <v>101</v>
      </c>
    </row>
    <row r="58" spans="1:7">
      <c r="A58" s="3033"/>
      <c r="B58" s="3033">
        <v>103</v>
      </c>
      <c r="C58" s="3033">
        <v>219.24</v>
      </c>
      <c r="F58" s="3010">
        <v>11</v>
      </c>
      <c r="G58" s="3011">
        <v>101</v>
      </c>
    </row>
    <row r="59" spans="1:7">
      <c r="A59" s="3033"/>
      <c r="B59" s="3033">
        <v>104</v>
      </c>
      <c r="C59" s="3033">
        <v>218.63</v>
      </c>
      <c r="F59" s="3010">
        <v>11</v>
      </c>
      <c r="G59" s="3011">
        <v>-201</v>
      </c>
    </row>
    <row r="60" spans="1:7">
      <c r="A60" s="3033"/>
      <c r="B60" s="3033">
        <v>105</v>
      </c>
      <c r="C60" s="3033">
        <v>218.77</v>
      </c>
      <c r="F60" s="3010">
        <v>14</v>
      </c>
      <c r="G60" s="3011">
        <v>103</v>
      </c>
    </row>
    <row r="61" spans="1:7">
      <c r="A61" s="3033"/>
      <c r="B61" s="3033">
        <v>106</v>
      </c>
      <c r="C61" s="3033">
        <v>219.24</v>
      </c>
      <c r="F61" s="3010">
        <v>14</v>
      </c>
      <c r="G61" s="3011">
        <v>-203</v>
      </c>
    </row>
    <row r="62" spans="1:7">
      <c r="A62" s="3033" t="s">
        <v>3091</v>
      </c>
      <c r="B62" s="3033">
        <v>-201</v>
      </c>
      <c r="C62" s="3033">
        <v>83.6</v>
      </c>
      <c r="F62" s="3010">
        <v>16</v>
      </c>
      <c r="G62" s="3011">
        <v>101</v>
      </c>
    </row>
    <row r="63" spans="1:7">
      <c r="A63" s="3033"/>
      <c r="B63" s="3033">
        <v>-202</v>
      </c>
      <c r="C63" s="3033">
        <v>84.32</v>
      </c>
      <c r="F63" s="3010">
        <v>16</v>
      </c>
      <c r="G63" s="3011">
        <v>-203</v>
      </c>
    </row>
    <row r="64" spans="1:7">
      <c r="A64" s="3033"/>
      <c r="B64" s="3033">
        <v>-203</v>
      </c>
      <c r="C64" s="3033">
        <v>83.6</v>
      </c>
      <c r="F64" s="3010">
        <v>16</v>
      </c>
      <c r="G64" s="3011">
        <v>-201</v>
      </c>
    </row>
    <row r="65" spans="1:7">
      <c r="A65" s="3033"/>
      <c r="B65" s="3033">
        <v>-204</v>
      </c>
      <c r="C65" s="3033">
        <v>84.32</v>
      </c>
      <c r="F65" s="3010">
        <v>16</v>
      </c>
      <c r="G65" s="3011">
        <v>103</v>
      </c>
    </row>
    <row r="66" spans="1:7">
      <c r="A66" s="3033"/>
      <c r="B66" s="3033">
        <v>101</v>
      </c>
      <c r="C66" s="3033">
        <v>219.21999999999997</v>
      </c>
      <c r="F66" s="3010">
        <v>19</v>
      </c>
      <c r="G66" s="3011">
        <v>101</v>
      </c>
    </row>
    <row r="67" spans="1:7">
      <c r="A67" s="3033"/>
      <c r="B67" s="3033">
        <v>102</v>
      </c>
      <c r="C67" s="3033">
        <v>219.83</v>
      </c>
      <c r="F67" s="3010">
        <v>19</v>
      </c>
      <c r="G67" s="3011">
        <v>104</v>
      </c>
    </row>
    <row r="68" spans="1:7">
      <c r="A68" s="3033"/>
      <c r="B68" s="3033">
        <v>103</v>
      </c>
      <c r="C68" s="3033">
        <v>219.21999999999997</v>
      </c>
      <c r="F68" s="3010">
        <v>19</v>
      </c>
      <c r="G68" s="3011">
        <v>-204</v>
      </c>
    </row>
    <row r="69" spans="1:7">
      <c r="A69" s="3033"/>
      <c r="B69" s="3033">
        <v>104</v>
      </c>
      <c r="C69" s="3033">
        <v>219.83</v>
      </c>
      <c r="F69" s="3010">
        <v>19</v>
      </c>
      <c r="G69" s="3011">
        <v>-201</v>
      </c>
    </row>
    <row r="70" spans="1:7">
      <c r="A70" s="3033" t="s">
        <v>3061</v>
      </c>
      <c r="B70" s="3033">
        <v>-201</v>
      </c>
      <c r="C70" s="3033">
        <v>83.6</v>
      </c>
      <c r="F70" s="3010">
        <v>21</v>
      </c>
      <c r="G70" s="3011">
        <v>103</v>
      </c>
    </row>
    <row r="71" spans="1:7">
      <c r="A71" s="3033"/>
      <c r="B71" s="3033">
        <v>-202</v>
      </c>
      <c r="C71" s="3033">
        <v>84.32</v>
      </c>
      <c r="F71" s="3010">
        <v>21</v>
      </c>
      <c r="G71" s="3011">
        <v>-203</v>
      </c>
    </row>
    <row r="72" spans="1:7">
      <c r="A72" s="3033"/>
      <c r="B72" s="3033">
        <v>-203</v>
      </c>
      <c r="C72" s="3033">
        <v>83.6</v>
      </c>
      <c r="F72" s="3010">
        <v>24</v>
      </c>
      <c r="G72" s="3011">
        <v>103</v>
      </c>
    </row>
    <row r="73" spans="1:7">
      <c r="A73" s="3033"/>
      <c r="B73" s="3033">
        <v>-204</v>
      </c>
      <c r="C73" s="3033">
        <v>84.32</v>
      </c>
      <c r="F73" s="3010">
        <v>24</v>
      </c>
      <c r="G73" s="3011">
        <v>-203</v>
      </c>
    </row>
    <row r="74" spans="1:7">
      <c r="A74" s="3033"/>
      <c r="B74" s="3033">
        <v>101</v>
      </c>
      <c r="C74" s="3033">
        <v>219.21999999999997</v>
      </c>
      <c r="F74" s="3010">
        <v>26</v>
      </c>
      <c r="G74" s="3011">
        <v>103</v>
      </c>
    </row>
    <row r="75" spans="1:7">
      <c r="A75" s="3033"/>
      <c r="B75" s="3033">
        <v>102</v>
      </c>
      <c r="C75" s="3033">
        <v>219.83</v>
      </c>
      <c r="F75" s="3010">
        <v>26</v>
      </c>
      <c r="G75" s="3011">
        <v>-203</v>
      </c>
    </row>
    <row r="76" spans="1:7">
      <c r="A76" s="3033"/>
      <c r="B76" s="3033">
        <v>103</v>
      </c>
      <c r="C76" s="3033">
        <v>219.21999999999997</v>
      </c>
      <c r="F76" s="3010">
        <v>28</v>
      </c>
      <c r="G76" s="3011">
        <v>101</v>
      </c>
    </row>
    <row r="77" spans="1:7">
      <c r="A77" s="3033"/>
      <c r="B77" s="3033">
        <v>104</v>
      </c>
      <c r="C77" s="3033">
        <v>219.83</v>
      </c>
      <c r="F77" s="3010">
        <v>33</v>
      </c>
      <c r="G77" s="3011">
        <v>104</v>
      </c>
    </row>
    <row r="78" spans="1:7">
      <c r="A78" s="3033" t="s">
        <v>3092</v>
      </c>
      <c r="B78" s="3033">
        <v>-201</v>
      </c>
      <c r="C78" s="3033">
        <v>83.62</v>
      </c>
      <c r="F78" s="3010">
        <v>33</v>
      </c>
      <c r="G78" s="3011">
        <v>-204</v>
      </c>
    </row>
    <row r="79" spans="1:7">
      <c r="A79" s="3033"/>
      <c r="B79" s="3033">
        <v>-202</v>
      </c>
      <c r="C79" s="3033">
        <v>84.34</v>
      </c>
      <c r="F79" s="3010">
        <v>34</v>
      </c>
      <c r="G79" s="3011">
        <v>104</v>
      </c>
    </row>
    <row r="80" spans="1:7">
      <c r="A80" s="3033"/>
      <c r="B80" s="3033">
        <v>-203</v>
      </c>
      <c r="C80" s="3033">
        <v>84.34</v>
      </c>
      <c r="F80" s="3010">
        <v>34</v>
      </c>
      <c r="G80" s="3011">
        <v>-204</v>
      </c>
    </row>
    <row r="81" spans="1:7">
      <c r="A81" s="3033"/>
      <c r="B81" s="3033">
        <v>-204</v>
      </c>
      <c r="C81" s="3033">
        <v>83.62</v>
      </c>
      <c r="F81" s="3010">
        <v>35</v>
      </c>
      <c r="G81" s="3011">
        <v>104</v>
      </c>
    </row>
    <row r="82" spans="1:7">
      <c r="A82" s="3033"/>
      <c r="B82" s="3033">
        <v>-205</v>
      </c>
      <c r="C82" s="3033">
        <v>84.34</v>
      </c>
      <c r="F82" s="3010">
        <v>38</v>
      </c>
      <c r="G82" s="3011">
        <v>106</v>
      </c>
    </row>
    <row r="83" spans="1:7">
      <c r="A83" s="3033"/>
      <c r="B83" s="3033">
        <v>-206</v>
      </c>
      <c r="C83" s="3033">
        <v>84.34</v>
      </c>
      <c r="F83" s="3010">
        <v>38</v>
      </c>
      <c r="G83" s="3011">
        <v>-206</v>
      </c>
    </row>
    <row r="84" spans="1:7">
      <c r="A84" s="3033"/>
      <c r="B84" s="3033">
        <v>101</v>
      </c>
      <c r="C84" s="3033">
        <v>218.64</v>
      </c>
      <c r="F84" s="3010">
        <v>39</v>
      </c>
      <c r="G84" s="3011">
        <v>-201</v>
      </c>
    </row>
    <row r="85" spans="1:7">
      <c r="A85" s="3033"/>
      <c r="B85" s="3033">
        <v>102</v>
      </c>
      <c r="C85" s="3033">
        <v>218.77999999999997</v>
      </c>
      <c r="F85" s="3010">
        <v>39</v>
      </c>
      <c r="G85" s="3011">
        <v>101</v>
      </c>
    </row>
    <row r="86" spans="1:7">
      <c r="A86" s="3033"/>
      <c r="B86" s="3033">
        <v>103</v>
      </c>
      <c r="C86" s="3033">
        <v>219.24</v>
      </c>
      <c r="F86" s="3010">
        <v>44</v>
      </c>
      <c r="G86" s="3011">
        <v>104</v>
      </c>
    </row>
    <row r="87" spans="1:7">
      <c r="A87" s="3033"/>
      <c r="B87" s="3033">
        <v>104</v>
      </c>
      <c r="C87" s="3033">
        <v>218.64</v>
      </c>
      <c r="F87" s="3010">
        <v>44</v>
      </c>
      <c r="G87" s="3011">
        <v>-204</v>
      </c>
    </row>
    <row r="88" spans="1:7">
      <c r="A88" s="3033"/>
      <c r="B88" s="3033">
        <v>105</v>
      </c>
      <c r="C88" s="3033">
        <v>218.77999999999997</v>
      </c>
      <c r="F88" s="3010">
        <v>50</v>
      </c>
      <c r="G88" s="3011">
        <v>101</v>
      </c>
    </row>
    <row r="89" spans="1:7">
      <c r="A89" s="3033"/>
      <c r="B89" s="3033">
        <v>106</v>
      </c>
      <c r="C89" s="3033">
        <v>219.24</v>
      </c>
      <c r="F89" s="3010">
        <v>51</v>
      </c>
      <c r="G89" s="3011">
        <v>104</v>
      </c>
    </row>
    <row r="90" spans="1:7">
      <c r="A90" s="3033" t="s">
        <v>3093</v>
      </c>
      <c r="B90" s="3033">
        <v>-201</v>
      </c>
      <c r="C90" s="3033">
        <v>123.72</v>
      </c>
      <c r="F90" s="3010">
        <v>59</v>
      </c>
      <c r="G90" s="3011">
        <v>104</v>
      </c>
    </row>
    <row r="91" spans="1:7">
      <c r="A91" s="3033"/>
      <c r="B91" s="3033">
        <v>-202</v>
      </c>
      <c r="C91" s="3033">
        <v>124.79</v>
      </c>
    </row>
    <row r="92" spans="1:7">
      <c r="A92" s="3033"/>
      <c r="B92" s="3033">
        <v>-203</v>
      </c>
      <c r="C92" s="3033">
        <v>124.79</v>
      </c>
    </row>
    <row r="93" spans="1:7">
      <c r="A93" s="3033"/>
      <c r="B93" s="3033">
        <v>-204</v>
      </c>
      <c r="C93" s="3033">
        <v>123.72</v>
      </c>
    </row>
    <row r="94" spans="1:7">
      <c r="A94" s="3033"/>
      <c r="B94" s="3033">
        <v>-205</v>
      </c>
      <c r="C94" s="3033">
        <v>124.79</v>
      </c>
    </row>
    <row r="95" spans="1:7">
      <c r="A95" s="3033"/>
      <c r="B95" s="3033">
        <v>-206</v>
      </c>
      <c r="C95" s="3033">
        <v>124.79</v>
      </c>
    </row>
    <row r="96" spans="1:7">
      <c r="A96" s="3033"/>
      <c r="B96" s="3033">
        <v>101</v>
      </c>
      <c r="C96" s="3033">
        <v>178.36</v>
      </c>
    </row>
    <row r="97" spans="1:3">
      <c r="A97" s="3033"/>
      <c r="B97" s="3033">
        <v>102</v>
      </c>
      <c r="C97" s="3033">
        <v>178.47000000000003</v>
      </c>
    </row>
    <row r="98" spans="1:3">
      <c r="A98" s="3033"/>
      <c r="B98" s="3033">
        <v>103</v>
      </c>
      <c r="C98" s="3033">
        <v>178.85000000000002</v>
      </c>
    </row>
    <row r="99" spans="1:3">
      <c r="A99" s="3033"/>
      <c r="B99" s="3033">
        <v>104</v>
      </c>
      <c r="C99" s="3033">
        <v>178.36</v>
      </c>
    </row>
    <row r="100" spans="1:3">
      <c r="A100" s="3033"/>
      <c r="B100" s="3033">
        <v>105</v>
      </c>
      <c r="C100" s="3033">
        <v>178.47000000000003</v>
      </c>
    </row>
    <row r="101" spans="1:3">
      <c r="A101" s="3033"/>
      <c r="B101" s="3033">
        <v>106</v>
      </c>
      <c r="C101" s="3033">
        <v>178.85000000000002</v>
      </c>
    </row>
    <row r="102" spans="1:3">
      <c r="A102" s="3033" t="s">
        <v>3062</v>
      </c>
      <c r="B102" s="3033">
        <v>-201</v>
      </c>
      <c r="C102" s="3033">
        <v>83.6</v>
      </c>
    </row>
    <row r="103" spans="1:3">
      <c r="A103" s="3033"/>
      <c r="B103" s="3033">
        <v>-202</v>
      </c>
      <c r="C103" s="3033">
        <v>84.32</v>
      </c>
    </row>
    <row r="104" spans="1:3">
      <c r="A104" s="3033"/>
      <c r="B104" s="3033">
        <v>-203</v>
      </c>
      <c r="C104" s="3033">
        <v>83.6</v>
      </c>
    </row>
    <row r="105" spans="1:3">
      <c r="A105" s="3033"/>
      <c r="B105" s="3033">
        <v>-204</v>
      </c>
      <c r="C105" s="3033">
        <v>84.32</v>
      </c>
    </row>
    <row r="106" spans="1:3">
      <c r="A106" s="3033"/>
      <c r="B106" s="3033">
        <v>101</v>
      </c>
      <c r="C106" s="3033">
        <v>219.21999999999997</v>
      </c>
    </row>
    <row r="107" spans="1:3">
      <c r="A107" s="3033"/>
      <c r="B107" s="3033">
        <v>102</v>
      </c>
      <c r="C107" s="3033">
        <v>219.83</v>
      </c>
    </row>
    <row r="108" spans="1:3">
      <c r="A108" s="3033"/>
      <c r="B108" s="3033">
        <v>103</v>
      </c>
      <c r="C108" s="3033">
        <v>219.21999999999997</v>
      </c>
    </row>
    <row r="109" spans="1:3">
      <c r="A109" s="3033"/>
      <c r="B109" s="3033">
        <v>104</v>
      </c>
      <c r="C109" s="3033">
        <v>219.83</v>
      </c>
    </row>
    <row r="110" spans="1:3">
      <c r="A110" s="3033" t="s">
        <v>3094</v>
      </c>
      <c r="B110" s="3033">
        <v>-201</v>
      </c>
      <c r="C110" s="3033">
        <v>83.45</v>
      </c>
    </row>
    <row r="111" spans="1:3">
      <c r="A111" s="3033"/>
      <c r="B111" s="3033">
        <v>-202</v>
      </c>
      <c r="C111" s="3033">
        <v>84.17</v>
      </c>
    </row>
    <row r="112" spans="1:3">
      <c r="A112" s="3033"/>
      <c r="B112" s="3033">
        <v>-203</v>
      </c>
      <c r="C112" s="3033">
        <v>84.17</v>
      </c>
    </row>
    <row r="113" spans="1:3">
      <c r="A113" s="3033"/>
      <c r="B113" s="3033">
        <v>-204</v>
      </c>
      <c r="C113" s="3033">
        <v>83.45</v>
      </c>
    </row>
    <row r="114" spans="1:3">
      <c r="A114" s="3033"/>
      <c r="B114" s="3033">
        <v>-205</v>
      </c>
      <c r="C114" s="3033">
        <v>84.17</v>
      </c>
    </row>
    <row r="115" spans="1:3">
      <c r="A115" s="3033"/>
      <c r="B115" s="3033">
        <v>-206</v>
      </c>
      <c r="C115" s="3033">
        <v>84.17</v>
      </c>
    </row>
    <row r="116" spans="1:3">
      <c r="A116" s="3033"/>
      <c r="B116" s="3033">
        <v>101</v>
      </c>
      <c r="C116" s="3033">
        <v>218.64</v>
      </c>
    </row>
    <row r="117" spans="1:3">
      <c r="A117" s="3033"/>
      <c r="B117" s="3033">
        <v>102</v>
      </c>
      <c r="C117" s="3033">
        <v>218.76999999999998</v>
      </c>
    </row>
    <row r="118" spans="1:3">
      <c r="A118" s="3033"/>
      <c r="B118" s="3033">
        <v>103</v>
      </c>
      <c r="C118" s="3033">
        <v>219.24</v>
      </c>
    </row>
    <row r="119" spans="1:3">
      <c r="A119" s="3033"/>
      <c r="B119" s="3033">
        <v>104</v>
      </c>
      <c r="C119" s="3033">
        <v>218.64</v>
      </c>
    </row>
    <row r="120" spans="1:3">
      <c r="A120" s="3033"/>
      <c r="B120" s="3033">
        <v>105</v>
      </c>
      <c r="C120" s="3033">
        <v>218.76999999999998</v>
      </c>
    </row>
    <row r="121" spans="1:3">
      <c r="A121" s="3033"/>
      <c r="B121" s="3033">
        <v>106</v>
      </c>
      <c r="C121" s="3033">
        <v>219.24</v>
      </c>
    </row>
    <row r="122" spans="1:3">
      <c r="A122" s="3033" t="s">
        <v>3095</v>
      </c>
      <c r="B122" s="3033">
        <v>-201</v>
      </c>
      <c r="C122" s="3033">
        <v>83.88</v>
      </c>
    </row>
    <row r="123" spans="1:3">
      <c r="A123" s="3033"/>
      <c r="B123" s="3033">
        <v>-202</v>
      </c>
      <c r="C123" s="3033">
        <v>84.6</v>
      </c>
    </row>
    <row r="124" spans="1:3">
      <c r="A124" s="3033"/>
      <c r="B124" s="3033">
        <v>-203</v>
      </c>
      <c r="C124" s="3033">
        <v>83.88</v>
      </c>
    </row>
    <row r="125" spans="1:3">
      <c r="A125" s="3033"/>
      <c r="B125" s="3033">
        <v>-204</v>
      </c>
      <c r="C125" s="3033">
        <v>84.6</v>
      </c>
    </row>
    <row r="126" spans="1:3">
      <c r="A126" s="3033"/>
      <c r="B126" s="3033">
        <v>101</v>
      </c>
      <c r="C126" s="3033">
        <v>219.21999999999997</v>
      </c>
    </row>
    <row r="127" spans="1:3">
      <c r="A127" s="3033"/>
      <c r="B127" s="3033">
        <v>102</v>
      </c>
      <c r="C127" s="3033">
        <v>219.82</v>
      </c>
    </row>
    <row r="128" spans="1:3">
      <c r="A128" s="3033"/>
      <c r="B128" s="3033">
        <v>103</v>
      </c>
      <c r="C128" s="3033">
        <v>219.21999999999997</v>
      </c>
    </row>
    <row r="129" spans="1:3">
      <c r="A129" s="3033"/>
      <c r="B129" s="3033">
        <v>104</v>
      </c>
      <c r="C129" s="3033">
        <v>219.82</v>
      </c>
    </row>
    <row r="130" spans="1:3">
      <c r="A130" s="3033" t="s">
        <v>3063</v>
      </c>
      <c r="B130" s="3033">
        <v>-201</v>
      </c>
      <c r="C130" s="3033">
        <v>84.75</v>
      </c>
    </row>
    <row r="131" spans="1:3">
      <c r="A131" s="3033"/>
      <c r="B131" s="3033">
        <v>-202</v>
      </c>
      <c r="C131" s="3033">
        <v>85.48</v>
      </c>
    </row>
    <row r="132" spans="1:3">
      <c r="A132" s="3033"/>
      <c r="B132" s="3033">
        <v>101</v>
      </c>
      <c r="C132" s="3033">
        <v>225.86</v>
      </c>
    </row>
    <row r="133" spans="1:3">
      <c r="A133" s="3033"/>
      <c r="B133" s="3033">
        <v>102</v>
      </c>
      <c r="C133" s="3033">
        <v>226.49</v>
      </c>
    </row>
    <row r="134" spans="1:3">
      <c r="A134" s="3033" t="s">
        <v>3096</v>
      </c>
      <c r="B134" s="3033">
        <v>-201</v>
      </c>
      <c r="C134" s="3033">
        <v>85.35</v>
      </c>
    </row>
    <row r="135" spans="1:3">
      <c r="A135" s="3033"/>
      <c r="B135" s="3033">
        <v>-202</v>
      </c>
      <c r="C135" s="3033">
        <v>86.06</v>
      </c>
    </row>
    <row r="136" spans="1:3">
      <c r="A136" s="3033"/>
      <c r="B136" s="3033">
        <v>-203</v>
      </c>
      <c r="C136" s="3033">
        <v>86.06</v>
      </c>
    </row>
    <row r="137" spans="1:3">
      <c r="A137" s="3033"/>
      <c r="B137" s="3033">
        <v>101</v>
      </c>
      <c r="C137" s="3033">
        <v>225.45</v>
      </c>
    </row>
    <row r="138" spans="1:3">
      <c r="A138" s="3033"/>
      <c r="B138" s="3033">
        <v>102</v>
      </c>
      <c r="C138" s="3033">
        <v>225.59</v>
      </c>
    </row>
    <row r="139" spans="1:3">
      <c r="A139" s="3033"/>
      <c r="B139" s="3033">
        <v>103</v>
      </c>
      <c r="C139" s="3033">
        <v>227.28</v>
      </c>
    </row>
    <row r="140" spans="1:3">
      <c r="A140" s="3033" t="s">
        <v>3097</v>
      </c>
      <c r="B140" s="3033">
        <v>-201</v>
      </c>
      <c r="C140" s="3033">
        <v>83.45</v>
      </c>
    </row>
    <row r="141" spans="1:3">
      <c r="A141" s="3033"/>
      <c r="B141" s="3033">
        <v>-202</v>
      </c>
      <c r="C141" s="3033">
        <v>84.17</v>
      </c>
    </row>
    <row r="142" spans="1:3">
      <c r="A142" s="3033"/>
      <c r="B142" s="3033">
        <v>-203</v>
      </c>
      <c r="C142" s="3033">
        <v>84.17</v>
      </c>
    </row>
    <row r="143" spans="1:3">
      <c r="A143" s="3033"/>
      <c r="B143" s="3033">
        <v>-204</v>
      </c>
      <c r="C143" s="3033">
        <v>83.45</v>
      </c>
    </row>
    <row r="144" spans="1:3">
      <c r="A144" s="3033"/>
      <c r="B144" s="3033">
        <v>-205</v>
      </c>
      <c r="C144" s="3033">
        <v>84.17</v>
      </c>
    </row>
    <row r="145" spans="1:3">
      <c r="A145" s="3033"/>
      <c r="B145" s="3033">
        <v>-206</v>
      </c>
      <c r="C145" s="3033">
        <v>84.17</v>
      </c>
    </row>
    <row r="146" spans="1:3">
      <c r="A146" s="3033"/>
      <c r="B146" s="3033">
        <v>101</v>
      </c>
      <c r="C146" s="3033">
        <v>218.64</v>
      </c>
    </row>
    <row r="147" spans="1:3">
      <c r="A147" s="3033"/>
      <c r="B147" s="3033">
        <v>102</v>
      </c>
      <c r="C147" s="3033">
        <v>218.76999999999998</v>
      </c>
    </row>
    <row r="148" spans="1:3">
      <c r="A148" s="3033"/>
      <c r="B148" s="3033">
        <v>103</v>
      </c>
      <c r="C148" s="3033">
        <v>219.24</v>
      </c>
    </row>
    <row r="149" spans="1:3">
      <c r="A149" s="3033"/>
      <c r="B149" s="3033">
        <v>104</v>
      </c>
      <c r="C149" s="3033">
        <v>218.64</v>
      </c>
    </row>
    <row r="150" spans="1:3">
      <c r="A150" s="3033"/>
      <c r="B150" s="3033">
        <v>105</v>
      </c>
      <c r="C150" s="3033">
        <v>218.76999999999998</v>
      </c>
    </row>
    <row r="151" spans="1:3">
      <c r="A151" s="3033"/>
      <c r="B151" s="3033">
        <v>106</v>
      </c>
      <c r="C151" s="3033">
        <v>219.24</v>
      </c>
    </row>
    <row r="152" spans="1:3">
      <c r="A152" s="3033" t="s">
        <v>3064</v>
      </c>
      <c r="B152" s="3033">
        <v>-201</v>
      </c>
      <c r="C152" s="3033">
        <v>83.88</v>
      </c>
    </row>
    <row r="153" spans="1:3">
      <c r="A153" s="3033"/>
      <c r="B153" s="3033">
        <v>-202</v>
      </c>
      <c r="C153" s="3033">
        <v>84.6</v>
      </c>
    </row>
    <row r="154" spans="1:3">
      <c r="A154" s="3033"/>
      <c r="B154" s="3033">
        <v>-203</v>
      </c>
      <c r="C154" s="3033">
        <v>83.88</v>
      </c>
    </row>
    <row r="155" spans="1:3">
      <c r="A155" s="3033"/>
      <c r="B155" s="3033">
        <v>-204</v>
      </c>
      <c r="C155" s="3033">
        <v>84.6</v>
      </c>
    </row>
    <row r="156" spans="1:3">
      <c r="A156" s="3033"/>
      <c r="B156" s="3033">
        <v>101</v>
      </c>
      <c r="C156" s="3033">
        <v>219.21999999999997</v>
      </c>
    </row>
    <row r="157" spans="1:3">
      <c r="A157" s="3033"/>
      <c r="B157" s="3033">
        <v>102</v>
      </c>
      <c r="C157" s="3033">
        <v>219.82</v>
      </c>
    </row>
    <row r="158" spans="1:3">
      <c r="A158" s="3033"/>
      <c r="B158" s="3033">
        <v>103</v>
      </c>
      <c r="C158" s="3033">
        <v>219.21999999999997</v>
      </c>
    </row>
    <row r="159" spans="1:3">
      <c r="A159" s="3033"/>
      <c r="B159" s="3033">
        <v>104</v>
      </c>
      <c r="C159" s="3033">
        <v>219.82</v>
      </c>
    </row>
    <row r="160" spans="1:3">
      <c r="A160" s="3033" t="s">
        <v>3098</v>
      </c>
      <c r="B160" s="3033">
        <v>-201</v>
      </c>
      <c r="C160" s="3033">
        <v>83.63</v>
      </c>
    </row>
    <row r="161" spans="1:3">
      <c r="A161" s="3033"/>
      <c r="B161" s="3033">
        <v>-202</v>
      </c>
      <c r="C161" s="3033">
        <v>84.36</v>
      </c>
    </row>
    <row r="162" spans="1:3">
      <c r="A162" s="3033"/>
      <c r="B162" s="3033">
        <v>-203</v>
      </c>
      <c r="C162" s="3033">
        <v>84.36</v>
      </c>
    </row>
    <row r="163" spans="1:3">
      <c r="A163" s="3033"/>
      <c r="B163" s="3033">
        <v>-204</v>
      </c>
      <c r="C163" s="3033">
        <v>83.63</v>
      </c>
    </row>
    <row r="164" spans="1:3">
      <c r="A164" s="3033"/>
      <c r="B164" s="3033">
        <v>-205</v>
      </c>
      <c r="C164" s="3033">
        <v>84.36</v>
      </c>
    </row>
    <row r="165" spans="1:3">
      <c r="A165" s="3033"/>
      <c r="B165" s="3033">
        <v>-206</v>
      </c>
      <c r="C165" s="3033">
        <v>84.36</v>
      </c>
    </row>
    <row r="166" spans="1:3">
      <c r="A166" s="3033"/>
      <c r="B166" s="3033">
        <v>101</v>
      </c>
      <c r="C166" s="3033">
        <v>218.63</v>
      </c>
    </row>
    <row r="167" spans="1:3">
      <c r="A167" s="3033"/>
      <c r="B167" s="3033">
        <v>102</v>
      </c>
      <c r="C167" s="3033">
        <v>218.77</v>
      </c>
    </row>
    <row r="168" spans="1:3">
      <c r="A168" s="3033"/>
      <c r="B168" s="3033">
        <v>103</v>
      </c>
      <c r="C168" s="3033">
        <v>219.23000000000002</v>
      </c>
    </row>
    <row r="169" spans="1:3">
      <c r="A169" s="3033"/>
      <c r="B169" s="3033">
        <v>104</v>
      </c>
      <c r="C169" s="3033">
        <v>218.63</v>
      </c>
    </row>
    <row r="170" spans="1:3">
      <c r="A170" s="3033"/>
      <c r="B170" s="3033">
        <v>105</v>
      </c>
      <c r="C170" s="3033">
        <v>218.77</v>
      </c>
    </row>
    <row r="171" spans="1:3">
      <c r="A171" s="3033"/>
      <c r="B171" s="3033">
        <v>106</v>
      </c>
      <c r="C171" s="3033">
        <v>219.23000000000002</v>
      </c>
    </row>
    <row r="172" spans="1:3">
      <c r="A172" s="3033" t="s">
        <v>3099</v>
      </c>
      <c r="B172" s="3033">
        <v>-201</v>
      </c>
      <c r="C172" s="3033">
        <v>83.59</v>
      </c>
    </row>
    <row r="173" spans="1:3">
      <c r="A173" s="3033"/>
      <c r="B173" s="3033">
        <v>-202</v>
      </c>
      <c r="C173" s="3033">
        <v>84.31</v>
      </c>
    </row>
    <row r="174" spans="1:3">
      <c r="A174" s="3033"/>
      <c r="B174" s="3033">
        <v>-203</v>
      </c>
      <c r="C174" s="3033">
        <v>83.59</v>
      </c>
    </row>
    <row r="175" spans="1:3">
      <c r="A175" s="3033"/>
      <c r="B175" s="3033">
        <v>-204</v>
      </c>
      <c r="C175" s="3033">
        <v>84.31</v>
      </c>
    </row>
    <row r="176" spans="1:3">
      <c r="A176" s="3033"/>
      <c r="B176" s="3033">
        <v>101</v>
      </c>
      <c r="C176" s="3033">
        <v>219.10000000000002</v>
      </c>
    </row>
    <row r="177" spans="1:3">
      <c r="A177" s="3033"/>
      <c r="B177" s="3033">
        <v>102</v>
      </c>
      <c r="C177" s="3033">
        <v>219.7</v>
      </c>
    </row>
    <row r="178" spans="1:3">
      <c r="A178" s="3033"/>
      <c r="B178" s="3033">
        <v>103</v>
      </c>
      <c r="C178" s="3033">
        <v>219.10000000000002</v>
      </c>
    </row>
    <row r="179" spans="1:3">
      <c r="A179" s="3033"/>
      <c r="B179" s="3033">
        <v>104</v>
      </c>
      <c r="C179" s="3033">
        <v>219.7</v>
      </c>
    </row>
    <row r="180" spans="1:3">
      <c r="A180" s="3033" t="s">
        <v>3065</v>
      </c>
      <c r="B180" s="3033">
        <v>-201</v>
      </c>
      <c r="C180" s="3033">
        <v>83.6</v>
      </c>
    </row>
    <row r="181" spans="1:3">
      <c r="A181" s="3033"/>
      <c r="B181" s="3033">
        <v>-202</v>
      </c>
      <c r="C181" s="3033">
        <v>84.32</v>
      </c>
    </row>
    <row r="182" spans="1:3">
      <c r="A182" s="3033"/>
      <c r="B182" s="3033">
        <v>-203</v>
      </c>
      <c r="C182" s="3033">
        <v>83.6</v>
      </c>
    </row>
    <row r="183" spans="1:3">
      <c r="A183" s="3033"/>
      <c r="B183" s="3033">
        <v>-204</v>
      </c>
      <c r="C183" s="3033">
        <v>84.32</v>
      </c>
    </row>
    <row r="184" spans="1:3">
      <c r="A184" s="3033"/>
      <c r="B184" s="3033">
        <v>101</v>
      </c>
      <c r="C184" s="3033">
        <v>219.21999999999997</v>
      </c>
    </row>
    <row r="185" spans="1:3">
      <c r="A185" s="3033"/>
      <c r="B185" s="3033">
        <v>102</v>
      </c>
      <c r="C185" s="3033">
        <v>219.83</v>
      </c>
    </row>
    <row r="186" spans="1:3">
      <c r="A186" s="3033"/>
      <c r="B186" s="3033">
        <v>103</v>
      </c>
      <c r="C186" s="3033">
        <v>219.21999999999997</v>
      </c>
    </row>
    <row r="187" spans="1:3">
      <c r="A187" s="3033"/>
      <c r="B187" s="3033">
        <v>104</v>
      </c>
      <c r="C187" s="3033">
        <v>219.83</v>
      </c>
    </row>
    <row r="188" spans="1:3">
      <c r="A188" s="3033" t="s">
        <v>3100</v>
      </c>
      <c r="B188" s="3033">
        <v>-201</v>
      </c>
      <c r="C188" s="3033">
        <v>83.63</v>
      </c>
    </row>
    <row r="189" spans="1:3">
      <c r="A189" s="3033"/>
      <c r="B189" s="3033">
        <v>-202</v>
      </c>
      <c r="C189" s="3033">
        <v>84.36</v>
      </c>
    </row>
    <row r="190" spans="1:3">
      <c r="A190" s="3033"/>
      <c r="B190" s="3033">
        <v>-203</v>
      </c>
      <c r="C190" s="3033">
        <v>84.36</v>
      </c>
    </row>
    <row r="191" spans="1:3">
      <c r="A191" s="3033"/>
      <c r="B191" s="3033">
        <v>-204</v>
      </c>
      <c r="C191" s="3033">
        <v>83.63</v>
      </c>
    </row>
    <row r="192" spans="1:3">
      <c r="A192" s="3033"/>
      <c r="B192" s="3033">
        <v>-205</v>
      </c>
      <c r="C192" s="3033">
        <v>84.36</v>
      </c>
    </row>
    <row r="193" spans="1:3">
      <c r="A193" s="3033"/>
      <c r="B193" s="3033">
        <v>-206</v>
      </c>
      <c r="C193" s="3033">
        <v>84.36</v>
      </c>
    </row>
    <row r="194" spans="1:3">
      <c r="A194" s="3033"/>
      <c r="B194" s="3033">
        <v>101</v>
      </c>
      <c r="C194" s="3033">
        <v>218.63</v>
      </c>
    </row>
    <row r="195" spans="1:3">
      <c r="A195" s="3033"/>
      <c r="B195" s="3033">
        <v>102</v>
      </c>
      <c r="C195" s="3033">
        <v>218.77</v>
      </c>
    </row>
    <row r="196" spans="1:3">
      <c r="A196" s="3033"/>
      <c r="B196" s="3033">
        <v>103</v>
      </c>
      <c r="C196" s="3033">
        <v>219.24</v>
      </c>
    </row>
    <row r="197" spans="1:3">
      <c r="A197" s="3033"/>
      <c r="B197" s="3033">
        <v>104</v>
      </c>
      <c r="C197" s="3033">
        <v>218.63</v>
      </c>
    </row>
    <row r="198" spans="1:3">
      <c r="A198" s="3033"/>
      <c r="B198" s="3033">
        <v>105</v>
      </c>
      <c r="C198" s="3033">
        <v>218.77</v>
      </c>
    </row>
    <row r="199" spans="1:3">
      <c r="A199" s="3033"/>
      <c r="B199" s="3033">
        <v>106</v>
      </c>
      <c r="C199" s="3033">
        <v>219.24</v>
      </c>
    </row>
    <row r="200" spans="1:3">
      <c r="A200" s="3033" t="s">
        <v>3101</v>
      </c>
      <c r="B200" s="3033">
        <v>-201</v>
      </c>
      <c r="C200" s="3033">
        <v>83.64</v>
      </c>
    </row>
    <row r="201" spans="1:3">
      <c r="A201" s="3033"/>
      <c r="B201" s="3033">
        <v>-202</v>
      </c>
      <c r="C201" s="3033">
        <v>84.36</v>
      </c>
    </row>
    <row r="202" spans="1:3">
      <c r="A202" s="3033"/>
      <c r="B202" s="3033">
        <v>-203</v>
      </c>
      <c r="C202" s="3033">
        <v>84.36</v>
      </c>
    </row>
    <row r="203" spans="1:3">
      <c r="A203" s="3033"/>
      <c r="B203" s="3033">
        <v>-204</v>
      </c>
      <c r="C203" s="3033">
        <v>83.64</v>
      </c>
    </row>
    <row r="204" spans="1:3">
      <c r="A204" s="3033"/>
      <c r="B204" s="3033">
        <v>-205</v>
      </c>
      <c r="C204" s="3033">
        <v>84.36</v>
      </c>
    </row>
    <row r="205" spans="1:3">
      <c r="A205" s="3033"/>
      <c r="B205" s="3033">
        <v>-206</v>
      </c>
      <c r="C205" s="3033">
        <v>84.36</v>
      </c>
    </row>
    <row r="206" spans="1:3">
      <c r="A206" s="3033"/>
      <c r="B206" s="3033">
        <v>101</v>
      </c>
      <c r="C206" s="3033">
        <v>218.66</v>
      </c>
    </row>
    <row r="207" spans="1:3">
      <c r="A207" s="3033"/>
      <c r="B207" s="3033">
        <v>102</v>
      </c>
      <c r="C207" s="3033">
        <v>218.8</v>
      </c>
    </row>
    <row r="208" spans="1:3">
      <c r="A208" s="3033"/>
      <c r="B208" s="3033">
        <v>103</v>
      </c>
      <c r="C208" s="3033">
        <v>219.27</v>
      </c>
    </row>
    <row r="209" spans="1:3">
      <c r="A209" s="3033"/>
      <c r="B209" s="3033">
        <v>104</v>
      </c>
      <c r="C209" s="3033">
        <v>218.66</v>
      </c>
    </row>
    <row r="210" spans="1:3">
      <c r="A210" s="3033"/>
      <c r="B210" s="3033">
        <v>105</v>
      </c>
      <c r="C210" s="3033">
        <v>218.8</v>
      </c>
    </row>
    <row r="211" spans="1:3">
      <c r="A211" s="3033"/>
      <c r="B211" s="3033">
        <v>106</v>
      </c>
      <c r="C211" s="3033">
        <v>219.27</v>
      </c>
    </row>
    <row r="212" spans="1:3">
      <c r="A212" s="3033" t="s">
        <v>3066</v>
      </c>
      <c r="B212" s="3033">
        <v>-201</v>
      </c>
      <c r="C212" s="3033">
        <v>83.6</v>
      </c>
    </row>
    <row r="213" spans="1:3">
      <c r="A213" s="3033"/>
      <c r="B213" s="3033">
        <v>-202</v>
      </c>
      <c r="C213" s="3033">
        <v>84.32</v>
      </c>
    </row>
    <row r="214" spans="1:3">
      <c r="A214" s="3033"/>
      <c r="B214" s="3033">
        <v>-203</v>
      </c>
      <c r="C214" s="3033">
        <v>83.6</v>
      </c>
    </row>
    <row r="215" spans="1:3">
      <c r="A215" s="3033"/>
      <c r="B215" s="3033">
        <v>-204</v>
      </c>
      <c r="C215" s="3033">
        <v>84.32</v>
      </c>
    </row>
    <row r="216" spans="1:3">
      <c r="A216" s="3033"/>
      <c r="B216" s="3033">
        <v>101</v>
      </c>
      <c r="C216" s="3033">
        <v>219.21999999999997</v>
      </c>
    </row>
    <row r="217" spans="1:3">
      <c r="A217" s="3033"/>
      <c r="B217" s="3033">
        <v>102</v>
      </c>
      <c r="C217" s="3033">
        <v>219.83</v>
      </c>
    </row>
    <row r="218" spans="1:3">
      <c r="A218" s="3033"/>
      <c r="B218" s="3033">
        <v>103</v>
      </c>
      <c r="C218" s="3033">
        <v>219.21999999999997</v>
      </c>
    </row>
    <row r="219" spans="1:3">
      <c r="A219" s="3033"/>
      <c r="B219" s="3033">
        <v>104</v>
      </c>
      <c r="C219" s="3033">
        <v>219.83</v>
      </c>
    </row>
    <row r="220" spans="1:3">
      <c r="A220" s="3033" t="s">
        <v>3102</v>
      </c>
      <c r="B220" s="3033">
        <v>-201</v>
      </c>
      <c r="C220" s="3033">
        <v>114.28</v>
      </c>
    </row>
    <row r="221" spans="1:3">
      <c r="A221" s="3033"/>
      <c r="B221" s="3033">
        <v>-202</v>
      </c>
      <c r="C221" s="3033">
        <v>115.26</v>
      </c>
    </row>
    <row r="222" spans="1:3">
      <c r="A222" s="3033"/>
      <c r="B222" s="3033">
        <v>101</v>
      </c>
      <c r="C222" s="3033">
        <v>293.72000000000003</v>
      </c>
    </row>
    <row r="223" spans="1:3">
      <c r="A223" s="3033"/>
      <c r="B223" s="3033">
        <v>102</v>
      </c>
      <c r="C223" s="3033">
        <v>294.19</v>
      </c>
    </row>
    <row r="224" spans="1:3">
      <c r="A224" s="3033" t="s">
        <v>3067</v>
      </c>
      <c r="B224" s="3033">
        <v>-201</v>
      </c>
      <c r="C224" s="3033">
        <v>114.12</v>
      </c>
    </row>
    <row r="225" spans="1:3">
      <c r="A225" s="3033"/>
      <c r="B225" s="3033">
        <v>-202</v>
      </c>
      <c r="C225" s="3033">
        <v>114.12</v>
      </c>
    </row>
    <row r="226" spans="1:3">
      <c r="A226" s="3033"/>
      <c r="B226" s="3033">
        <v>-203</v>
      </c>
      <c r="C226" s="3033">
        <v>114.12</v>
      </c>
    </row>
    <row r="227" spans="1:3">
      <c r="A227" s="3033"/>
      <c r="B227" s="3033">
        <v>-204</v>
      </c>
      <c r="C227" s="3033">
        <v>114.92</v>
      </c>
    </row>
    <row r="228" spans="1:3">
      <c r="A228" s="3033"/>
      <c r="B228" s="3033">
        <v>101</v>
      </c>
      <c r="C228" s="3033">
        <v>292.83999999999997</v>
      </c>
    </row>
    <row r="229" spans="1:3">
      <c r="A229" s="3033"/>
      <c r="B229" s="3033">
        <v>102</v>
      </c>
      <c r="C229" s="3033">
        <v>292.83999999999997</v>
      </c>
    </row>
    <row r="230" spans="1:3">
      <c r="A230" s="3033"/>
      <c r="B230" s="3033">
        <v>103</v>
      </c>
      <c r="C230" s="3033">
        <v>292.83999999999997</v>
      </c>
    </row>
    <row r="231" spans="1:3">
      <c r="A231" s="3033"/>
      <c r="B231" s="3033">
        <v>104</v>
      </c>
      <c r="C231" s="3033">
        <v>293.32</v>
      </c>
    </row>
    <row r="232" spans="1:3">
      <c r="A232" s="3033" t="s">
        <v>3103</v>
      </c>
      <c r="B232" s="3033">
        <v>-201</v>
      </c>
      <c r="C232" s="3033">
        <v>83.43</v>
      </c>
    </row>
    <row r="233" spans="1:3">
      <c r="A233" s="3033"/>
      <c r="B233" s="3033">
        <v>-202</v>
      </c>
      <c r="C233" s="3033">
        <v>84.15</v>
      </c>
    </row>
    <row r="234" spans="1:3">
      <c r="A234" s="3033"/>
      <c r="B234" s="3033">
        <v>-203</v>
      </c>
      <c r="C234" s="3033">
        <v>84.15</v>
      </c>
    </row>
    <row r="235" spans="1:3">
      <c r="A235" s="3033"/>
      <c r="B235" s="3033">
        <v>-204</v>
      </c>
      <c r="C235" s="3033">
        <v>83.43</v>
      </c>
    </row>
    <row r="236" spans="1:3">
      <c r="A236" s="3033"/>
      <c r="B236" s="3033">
        <v>-205</v>
      </c>
      <c r="C236" s="3033">
        <v>84.15</v>
      </c>
    </row>
    <row r="237" spans="1:3">
      <c r="A237" s="3033"/>
      <c r="B237" s="3033">
        <v>-206</v>
      </c>
      <c r="C237" s="3033">
        <v>84.15</v>
      </c>
    </row>
    <row r="238" spans="1:3">
      <c r="A238" s="3033"/>
      <c r="B238" s="3033">
        <v>101</v>
      </c>
      <c r="C238" s="3033">
        <v>218.46</v>
      </c>
    </row>
    <row r="239" spans="1:3">
      <c r="A239" s="3033"/>
      <c r="B239" s="3033">
        <v>102</v>
      </c>
      <c r="C239" s="3033">
        <v>218.58999999999997</v>
      </c>
    </row>
    <row r="240" spans="1:3">
      <c r="A240" s="3033"/>
      <c r="B240" s="3033">
        <v>103</v>
      </c>
      <c r="C240" s="3033">
        <v>219.06</v>
      </c>
    </row>
    <row r="241" spans="1:3">
      <c r="A241" s="3033"/>
      <c r="B241" s="3033">
        <v>104</v>
      </c>
      <c r="C241" s="3033">
        <v>218.46</v>
      </c>
    </row>
    <row r="242" spans="1:3">
      <c r="A242" s="3033"/>
      <c r="B242" s="3033">
        <v>105</v>
      </c>
      <c r="C242" s="3033">
        <v>218.58999999999997</v>
      </c>
    </row>
    <row r="243" spans="1:3">
      <c r="A243" s="3033"/>
      <c r="B243" s="3033">
        <v>106</v>
      </c>
      <c r="C243" s="3033">
        <v>219.06</v>
      </c>
    </row>
    <row r="244" spans="1:3">
      <c r="A244" s="3033" t="s">
        <v>3068</v>
      </c>
      <c r="B244" s="3033">
        <v>-201</v>
      </c>
      <c r="C244" s="3033">
        <v>83.45</v>
      </c>
    </row>
    <row r="245" spans="1:3">
      <c r="A245" s="3033"/>
      <c r="B245" s="3033">
        <v>-202</v>
      </c>
      <c r="C245" s="3033">
        <v>84.17</v>
      </c>
    </row>
    <row r="246" spans="1:3">
      <c r="A246" s="3033"/>
      <c r="B246" s="3033">
        <v>-203</v>
      </c>
      <c r="C246" s="3033">
        <v>84.17</v>
      </c>
    </row>
    <row r="247" spans="1:3">
      <c r="A247" s="3033"/>
      <c r="B247" s="3033">
        <v>-204</v>
      </c>
      <c r="C247" s="3033">
        <v>83.45</v>
      </c>
    </row>
    <row r="248" spans="1:3">
      <c r="A248" s="3033"/>
      <c r="B248" s="3033">
        <v>-205</v>
      </c>
      <c r="C248" s="3033">
        <v>84.17</v>
      </c>
    </row>
    <row r="249" spans="1:3">
      <c r="A249" s="3033"/>
      <c r="B249" s="3033">
        <v>-206</v>
      </c>
      <c r="C249" s="3033">
        <v>84.17</v>
      </c>
    </row>
    <row r="250" spans="1:3">
      <c r="A250" s="3033"/>
      <c r="B250" s="3033">
        <v>101</v>
      </c>
      <c r="C250" s="3033">
        <v>218.64</v>
      </c>
    </row>
    <row r="251" spans="1:3">
      <c r="A251" s="3033"/>
      <c r="B251" s="3033">
        <v>102</v>
      </c>
      <c r="C251" s="3033">
        <v>218.76999999999998</v>
      </c>
    </row>
    <row r="252" spans="1:3">
      <c r="A252" s="3033"/>
      <c r="B252" s="3033">
        <v>103</v>
      </c>
      <c r="C252" s="3033">
        <v>219.24</v>
      </c>
    </row>
    <row r="253" spans="1:3">
      <c r="A253" s="3033"/>
      <c r="B253" s="3033">
        <v>104</v>
      </c>
      <c r="C253" s="3033">
        <v>218.64</v>
      </c>
    </row>
    <row r="254" spans="1:3">
      <c r="A254" s="3033"/>
      <c r="B254" s="3033">
        <v>105</v>
      </c>
      <c r="C254" s="3033">
        <v>218.76999999999998</v>
      </c>
    </row>
    <row r="255" spans="1:3">
      <c r="A255" s="3033"/>
      <c r="B255" s="3033">
        <v>106</v>
      </c>
      <c r="C255" s="3033">
        <v>219.24</v>
      </c>
    </row>
    <row r="256" spans="1:3">
      <c r="A256" s="3033" t="s">
        <v>3104</v>
      </c>
      <c r="B256" s="3033">
        <v>-201</v>
      </c>
      <c r="C256" s="3033">
        <v>84.37</v>
      </c>
    </row>
    <row r="257" spans="1:3">
      <c r="A257" s="3033"/>
      <c r="B257" s="3033">
        <v>-202</v>
      </c>
      <c r="C257" s="3033">
        <v>85.1</v>
      </c>
    </row>
    <row r="258" spans="1:3">
      <c r="A258" s="3033"/>
      <c r="B258" s="3033">
        <v>-203</v>
      </c>
      <c r="C258" s="3033">
        <v>85.1</v>
      </c>
    </row>
    <row r="259" spans="1:3">
      <c r="A259" s="3033"/>
      <c r="B259" s="3033">
        <v>101</v>
      </c>
      <c r="C259" s="3033">
        <v>225.3</v>
      </c>
    </row>
    <row r="260" spans="1:3">
      <c r="A260" s="3033"/>
      <c r="B260" s="3033">
        <v>102</v>
      </c>
      <c r="C260" s="3033">
        <v>225.44</v>
      </c>
    </row>
    <row r="261" spans="1:3">
      <c r="A261" s="3033"/>
      <c r="B261" s="3033">
        <v>103</v>
      </c>
      <c r="C261" s="3033">
        <v>225.91</v>
      </c>
    </row>
    <row r="262" spans="1:3">
      <c r="A262" s="3033" t="s">
        <v>3069</v>
      </c>
      <c r="B262" s="3033">
        <v>-201</v>
      </c>
      <c r="C262" s="3033">
        <v>84.35</v>
      </c>
    </row>
    <row r="263" spans="1:3">
      <c r="A263" s="3033"/>
      <c r="B263" s="3033">
        <v>-202</v>
      </c>
      <c r="C263" s="3033">
        <v>85.08</v>
      </c>
    </row>
    <row r="264" spans="1:3">
      <c r="A264" s="3033"/>
      <c r="B264" s="3033">
        <v>-203</v>
      </c>
      <c r="C264" s="3033">
        <v>85.08</v>
      </c>
    </row>
    <row r="265" spans="1:3">
      <c r="A265" s="3033"/>
      <c r="B265" s="3033">
        <v>101</v>
      </c>
      <c r="C265" s="3033">
        <v>225.11</v>
      </c>
    </row>
    <row r="266" spans="1:3">
      <c r="A266" s="3033"/>
      <c r="B266" s="3033">
        <v>102</v>
      </c>
      <c r="C266" s="3033">
        <v>225.25</v>
      </c>
    </row>
    <row r="267" spans="1:3">
      <c r="A267" s="3033"/>
      <c r="B267" s="3033">
        <v>103</v>
      </c>
      <c r="C267" s="3033">
        <v>225.74</v>
      </c>
    </row>
    <row r="268" spans="1:3">
      <c r="A268" s="3033" t="s">
        <v>3105</v>
      </c>
      <c r="B268" s="3033">
        <v>-201</v>
      </c>
      <c r="C268" s="3033">
        <v>83.45</v>
      </c>
    </row>
    <row r="269" spans="1:3">
      <c r="A269" s="3033"/>
      <c r="B269" s="3033">
        <v>-202</v>
      </c>
      <c r="C269" s="3033">
        <v>84.17</v>
      </c>
    </row>
    <row r="270" spans="1:3">
      <c r="A270" s="3033"/>
      <c r="B270" s="3033">
        <v>-203</v>
      </c>
      <c r="C270" s="3033">
        <v>84.17</v>
      </c>
    </row>
    <row r="271" spans="1:3">
      <c r="A271" s="3033"/>
      <c r="B271" s="3033">
        <v>-204</v>
      </c>
      <c r="C271" s="3033">
        <v>83.45</v>
      </c>
    </row>
    <row r="272" spans="1:3">
      <c r="A272" s="3033"/>
      <c r="B272" s="3033">
        <v>-205</v>
      </c>
      <c r="C272" s="3033">
        <v>84.17</v>
      </c>
    </row>
    <row r="273" spans="1:3">
      <c r="A273" s="3033"/>
      <c r="B273" s="3033">
        <v>-206</v>
      </c>
      <c r="C273" s="3033">
        <v>84.17</v>
      </c>
    </row>
    <row r="274" spans="1:3">
      <c r="A274" s="3033"/>
      <c r="B274" s="3033">
        <v>101</v>
      </c>
      <c r="C274" s="3033">
        <v>218.64</v>
      </c>
    </row>
    <row r="275" spans="1:3">
      <c r="A275" s="3033"/>
      <c r="B275" s="3033">
        <v>102</v>
      </c>
      <c r="C275" s="3033">
        <v>218.76999999999998</v>
      </c>
    </row>
    <row r="276" spans="1:3">
      <c r="A276" s="3033"/>
      <c r="B276" s="3033">
        <v>103</v>
      </c>
      <c r="C276" s="3033">
        <v>219.24</v>
      </c>
    </row>
    <row r="277" spans="1:3">
      <c r="A277" s="3033"/>
      <c r="B277" s="3033">
        <v>104</v>
      </c>
      <c r="C277" s="3033">
        <v>218.64</v>
      </c>
    </row>
    <row r="278" spans="1:3">
      <c r="A278" s="3033"/>
      <c r="B278" s="3033">
        <v>105</v>
      </c>
      <c r="C278" s="3033">
        <v>218.76999999999998</v>
      </c>
    </row>
    <row r="279" spans="1:3">
      <c r="A279" s="3033"/>
      <c r="B279" s="3033">
        <v>106</v>
      </c>
      <c r="C279" s="3033">
        <v>219.24</v>
      </c>
    </row>
    <row r="280" spans="1:3">
      <c r="A280" s="3033" t="s">
        <v>3106</v>
      </c>
      <c r="B280" s="3033">
        <v>-201</v>
      </c>
      <c r="C280" s="3033">
        <v>83.44</v>
      </c>
    </row>
    <row r="281" spans="1:3">
      <c r="A281" s="3033"/>
      <c r="B281" s="3033">
        <v>-202</v>
      </c>
      <c r="C281" s="3033">
        <v>84.16</v>
      </c>
    </row>
    <row r="282" spans="1:3">
      <c r="A282" s="3033"/>
      <c r="B282" s="3033">
        <v>-203</v>
      </c>
      <c r="C282" s="3033">
        <v>84.16</v>
      </c>
    </row>
    <row r="283" spans="1:3">
      <c r="A283" s="3033"/>
      <c r="B283" s="3033">
        <v>-204</v>
      </c>
      <c r="C283" s="3033">
        <v>83.44</v>
      </c>
    </row>
    <row r="284" spans="1:3">
      <c r="A284" s="3033"/>
      <c r="B284" s="3033">
        <v>-205</v>
      </c>
      <c r="C284" s="3033">
        <v>84.16</v>
      </c>
    </row>
    <row r="285" spans="1:3">
      <c r="A285" s="3033"/>
      <c r="B285" s="3033">
        <v>-206</v>
      </c>
      <c r="C285" s="3033">
        <v>84.16</v>
      </c>
    </row>
    <row r="286" spans="1:3">
      <c r="A286" s="3033"/>
      <c r="B286" s="3033">
        <v>101</v>
      </c>
      <c r="C286" s="3033">
        <v>218.54999999999998</v>
      </c>
    </row>
    <row r="287" spans="1:3">
      <c r="A287" s="3033"/>
      <c r="B287" s="3033">
        <v>102</v>
      </c>
      <c r="C287" s="3033">
        <v>218.69</v>
      </c>
    </row>
    <row r="288" spans="1:3">
      <c r="A288" s="3033"/>
      <c r="B288" s="3033">
        <v>103</v>
      </c>
      <c r="C288" s="3033">
        <v>219.16000000000003</v>
      </c>
    </row>
    <row r="289" spans="1:3">
      <c r="A289" s="3033"/>
      <c r="B289" s="3033">
        <v>104</v>
      </c>
      <c r="C289" s="3033">
        <v>218.54999999999998</v>
      </c>
    </row>
    <row r="290" spans="1:3">
      <c r="A290" s="3033"/>
      <c r="B290" s="3033">
        <v>105</v>
      </c>
      <c r="C290" s="3033">
        <v>218.69</v>
      </c>
    </row>
    <row r="291" spans="1:3">
      <c r="A291" s="3033"/>
      <c r="B291" s="3033">
        <v>106</v>
      </c>
      <c r="C291" s="3033">
        <v>219.16000000000003</v>
      </c>
    </row>
    <row r="292" spans="1:3">
      <c r="A292" s="3033" t="s">
        <v>3070</v>
      </c>
      <c r="B292" s="3033">
        <v>-201</v>
      </c>
      <c r="C292" s="3033">
        <v>83.44</v>
      </c>
    </row>
    <row r="293" spans="1:3">
      <c r="A293" s="3033"/>
      <c r="B293" s="3033">
        <v>-202</v>
      </c>
      <c r="C293" s="3033">
        <v>84.16</v>
      </c>
    </row>
    <row r="294" spans="1:3">
      <c r="A294" s="3033"/>
      <c r="B294" s="3033">
        <v>-203</v>
      </c>
      <c r="C294" s="3033">
        <v>84.16</v>
      </c>
    </row>
    <row r="295" spans="1:3">
      <c r="A295" s="3033"/>
      <c r="B295" s="3033">
        <v>-204</v>
      </c>
      <c r="C295" s="3033">
        <v>83.44</v>
      </c>
    </row>
    <row r="296" spans="1:3">
      <c r="A296" s="3033"/>
      <c r="B296" s="3033">
        <v>-205</v>
      </c>
      <c r="C296" s="3033">
        <v>84.16</v>
      </c>
    </row>
    <row r="297" spans="1:3">
      <c r="A297" s="3033"/>
      <c r="B297" s="3033">
        <v>-206</v>
      </c>
      <c r="C297" s="3033">
        <v>84.16</v>
      </c>
    </row>
    <row r="298" spans="1:3">
      <c r="A298" s="3033"/>
      <c r="B298" s="3033">
        <v>101</v>
      </c>
      <c r="C298" s="3033">
        <v>218.51</v>
      </c>
    </row>
    <row r="299" spans="1:3">
      <c r="A299" s="3033"/>
      <c r="B299" s="3033">
        <v>102</v>
      </c>
      <c r="C299" s="3033">
        <v>218.64</v>
      </c>
    </row>
    <row r="300" spans="1:3">
      <c r="A300" s="3033"/>
      <c r="B300" s="3033">
        <v>103</v>
      </c>
      <c r="C300" s="3033">
        <v>219.10999999999999</v>
      </c>
    </row>
    <row r="301" spans="1:3">
      <c r="A301" s="3033"/>
      <c r="B301" s="3033">
        <v>104</v>
      </c>
      <c r="C301" s="3033">
        <v>218.51</v>
      </c>
    </row>
    <row r="302" spans="1:3">
      <c r="A302" s="3033"/>
      <c r="B302" s="3033">
        <v>105</v>
      </c>
      <c r="C302" s="3033">
        <v>218.64</v>
      </c>
    </row>
    <row r="303" spans="1:3">
      <c r="A303" s="3033"/>
      <c r="B303" s="3033">
        <v>106</v>
      </c>
      <c r="C303" s="3033">
        <v>219.10999999999999</v>
      </c>
    </row>
    <row r="304" spans="1:3">
      <c r="A304" s="3033" t="s">
        <v>3107</v>
      </c>
      <c r="B304" s="3033">
        <v>-201</v>
      </c>
      <c r="C304" s="3033">
        <v>84.26</v>
      </c>
    </row>
    <row r="305" spans="1:3">
      <c r="A305" s="3033"/>
      <c r="B305" s="3033">
        <v>-202</v>
      </c>
      <c r="C305" s="3033">
        <v>84.31</v>
      </c>
    </row>
    <row r="306" spans="1:3">
      <c r="A306" s="3033"/>
      <c r="B306" s="3033">
        <v>-203</v>
      </c>
      <c r="C306" s="3033">
        <v>84.31</v>
      </c>
    </row>
    <row r="307" spans="1:3">
      <c r="A307" s="3033"/>
      <c r="B307" s="3033">
        <v>-204</v>
      </c>
      <c r="C307" s="3033">
        <v>84.31</v>
      </c>
    </row>
    <row r="308" spans="1:3">
      <c r="A308" s="3033"/>
      <c r="B308" s="3033">
        <v>-205</v>
      </c>
      <c r="C308" s="3033">
        <v>84.31</v>
      </c>
    </row>
    <row r="309" spans="1:3">
      <c r="A309" s="3033"/>
      <c r="B309" s="3033">
        <v>101</v>
      </c>
      <c r="C309" s="3033">
        <v>222.15999999999997</v>
      </c>
    </row>
    <row r="310" spans="1:3">
      <c r="A310" s="3033"/>
      <c r="B310" s="3033">
        <v>102</v>
      </c>
      <c r="C310" s="3033">
        <v>220.09000000000003</v>
      </c>
    </row>
    <row r="311" spans="1:3">
      <c r="A311" s="3033"/>
      <c r="B311" s="3033">
        <v>103</v>
      </c>
      <c r="C311" s="3033">
        <v>220.62</v>
      </c>
    </row>
    <row r="312" spans="1:3">
      <c r="A312" s="3033"/>
      <c r="B312" s="3033">
        <v>104</v>
      </c>
      <c r="C312" s="3033">
        <v>220.09000000000003</v>
      </c>
    </row>
    <row r="313" spans="1:3">
      <c r="A313" s="3033"/>
      <c r="B313" s="3033">
        <v>105</v>
      </c>
      <c r="C313" s="3033">
        <v>220.62</v>
      </c>
    </row>
    <row r="314" spans="1:3">
      <c r="A314" s="3033" t="s">
        <v>3108</v>
      </c>
      <c r="B314" s="3033">
        <v>-201</v>
      </c>
      <c r="C314" s="3033">
        <v>83.62</v>
      </c>
    </row>
    <row r="315" spans="1:3">
      <c r="A315" s="3033"/>
      <c r="B315" s="3033">
        <v>-202</v>
      </c>
      <c r="C315" s="3033">
        <v>84.35</v>
      </c>
    </row>
    <row r="316" spans="1:3">
      <c r="A316" s="3033"/>
      <c r="B316" s="3033">
        <v>-203</v>
      </c>
      <c r="C316" s="3033">
        <v>83.62</v>
      </c>
    </row>
    <row r="317" spans="1:3">
      <c r="A317" s="3033"/>
      <c r="B317" s="3033">
        <v>-204</v>
      </c>
      <c r="C317" s="3033">
        <v>84.35</v>
      </c>
    </row>
    <row r="318" spans="1:3">
      <c r="A318" s="3033"/>
      <c r="B318" s="3033">
        <v>-205</v>
      </c>
      <c r="C318" s="3033">
        <v>85.02</v>
      </c>
    </row>
    <row r="319" spans="1:3">
      <c r="A319" s="3033"/>
      <c r="B319" s="3033">
        <v>101</v>
      </c>
      <c r="C319" s="3033">
        <v>219.73999999999998</v>
      </c>
    </row>
    <row r="320" spans="1:3">
      <c r="A320" s="3033"/>
      <c r="B320" s="3033">
        <v>102</v>
      </c>
      <c r="C320" s="3033">
        <v>220.36</v>
      </c>
    </row>
    <row r="321" spans="1:3">
      <c r="A321" s="3033"/>
      <c r="B321" s="3033">
        <v>103</v>
      </c>
      <c r="C321" s="3033">
        <v>219.73999999999998</v>
      </c>
    </row>
    <row r="322" spans="1:3">
      <c r="A322" s="3033"/>
      <c r="B322" s="3033">
        <v>104</v>
      </c>
      <c r="C322" s="3033">
        <v>219.87</v>
      </c>
    </row>
    <row r="323" spans="1:3">
      <c r="A323" s="3033"/>
      <c r="B323" s="3033">
        <v>105</v>
      </c>
      <c r="C323" s="3033">
        <v>222.62</v>
      </c>
    </row>
    <row r="324" spans="1:3">
      <c r="A324" s="3033" t="s">
        <v>3071</v>
      </c>
      <c r="B324" s="3033">
        <v>-201</v>
      </c>
      <c r="C324" s="3033">
        <v>83.43</v>
      </c>
    </row>
    <row r="325" spans="1:3">
      <c r="A325" s="3033"/>
      <c r="B325" s="3033">
        <v>-202</v>
      </c>
      <c r="C325" s="3033">
        <v>84.15</v>
      </c>
    </row>
    <row r="326" spans="1:3">
      <c r="A326" s="3033"/>
      <c r="B326" s="3033">
        <v>-203</v>
      </c>
      <c r="C326" s="3033">
        <v>84.15</v>
      </c>
    </row>
    <row r="327" spans="1:3">
      <c r="A327" s="3033"/>
      <c r="B327" s="3033">
        <v>-204</v>
      </c>
      <c r="C327" s="3033">
        <v>83.43</v>
      </c>
    </row>
    <row r="328" spans="1:3">
      <c r="A328" s="3033"/>
      <c r="B328" s="3033">
        <v>-205</v>
      </c>
      <c r="C328" s="3033">
        <v>84.15</v>
      </c>
    </row>
    <row r="329" spans="1:3">
      <c r="A329" s="3033"/>
      <c r="B329" s="3033">
        <v>-206</v>
      </c>
      <c r="C329" s="3033">
        <v>84.15</v>
      </c>
    </row>
    <row r="330" spans="1:3">
      <c r="A330" s="3033"/>
      <c r="B330" s="3033">
        <v>101</v>
      </c>
      <c r="C330" s="3033">
        <v>218.46</v>
      </c>
    </row>
    <row r="331" spans="1:3">
      <c r="A331" s="3033"/>
      <c r="B331" s="3033">
        <v>102</v>
      </c>
      <c r="C331" s="3033">
        <v>218.58999999999997</v>
      </c>
    </row>
    <row r="332" spans="1:3">
      <c r="A332" s="3033"/>
      <c r="B332" s="3033">
        <v>103</v>
      </c>
      <c r="C332" s="3033">
        <v>219.06</v>
      </c>
    </row>
    <row r="333" spans="1:3">
      <c r="A333" s="3033"/>
      <c r="B333" s="3033">
        <v>104</v>
      </c>
      <c r="C333" s="3033">
        <v>218.46</v>
      </c>
    </row>
    <row r="334" spans="1:3">
      <c r="A334" s="3033"/>
      <c r="B334" s="3033">
        <v>105</v>
      </c>
      <c r="C334" s="3033">
        <v>218.58999999999997</v>
      </c>
    </row>
    <row r="335" spans="1:3">
      <c r="A335" s="3033"/>
      <c r="B335" s="3033">
        <v>106</v>
      </c>
      <c r="C335" s="3033">
        <v>219.06</v>
      </c>
    </row>
    <row r="336" spans="1:3">
      <c r="A336" s="3033" t="s">
        <v>3109</v>
      </c>
      <c r="B336" s="3033">
        <v>-201</v>
      </c>
      <c r="C336" s="3033">
        <v>83.43</v>
      </c>
    </row>
    <row r="337" spans="1:3">
      <c r="A337" s="3033"/>
      <c r="B337" s="3033">
        <v>-202</v>
      </c>
      <c r="C337" s="3033">
        <v>84.15</v>
      </c>
    </row>
    <row r="338" spans="1:3">
      <c r="A338" s="3033"/>
      <c r="B338" s="3033">
        <v>-203</v>
      </c>
      <c r="C338" s="3033">
        <v>84.15</v>
      </c>
    </row>
    <row r="339" spans="1:3">
      <c r="A339" s="3033"/>
      <c r="B339" s="3033">
        <v>-204</v>
      </c>
      <c r="C339" s="3033">
        <v>83.43</v>
      </c>
    </row>
    <row r="340" spans="1:3">
      <c r="A340" s="3033"/>
      <c r="B340" s="3033">
        <v>-205</v>
      </c>
      <c r="C340" s="3033">
        <v>84.15</v>
      </c>
    </row>
    <row r="341" spans="1:3">
      <c r="A341" s="3033"/>
      <c r="B341" s="3033">
        <v>-206</v>
      </c>
      <c r="C341" s="3033">
        <v>84.15</v>
      </c>
    </row>
    <row r="342" spans="1:3">
      <c r="A342" s="3033"/>
      <c r="B342" s="3033">
        <v>101</v>
      </c>
      <c r="C342" s="3033">
        <v>218.46</v>
      </c>
    </row>
    <row r="343" spans="1:3">
      <c r="A343" s="3033"/>
      <c r="B343" s="3033">
        <v>102</v>
      </c>
      <c r="C343" s="3033">
        <v>218.58999999999997</v>
      </c>
    </row>
    <row r="344" spans="1:3">
      <c r="A344" s="3033"/>
      <c r="B344" s="3033">
        <v>103</v>
      </c>
      <c r="C344" s="3033">
        <v>219.06</v>
      </c>
    </row>
    <row r="345" spans="1:3">
      <c r="A345" s="3033"/>
      <c r="B345" s="3033">
        <v>104</v>
      </c>
      <c r="C345" s="3033">
        <v>218.46</v>
      </c>
    </row>
    <row r="346" spans="1:3">
      <c r="A346" s="3033"/>
      <c r="B346" s="3033">
        <v>105</v>
      </c>
      <c r="C346" s="3033">
        <v>218.58999999999997</v>
      </c>
    </row>
    <row r="347" spans="1:3">
      <c r="A347" s="3033"/>
      <c r="B347" s="3033">
        <v>106</v>
      </c>
      <c r="C347" s="3033">
        <v>219.06</v>
      </c>
    </row>
    <row r="348" spans="1:3">
      <c r="A348" s="3033" t="s">
        <v>3110</v>
      </c>
      <c r="B348" s="3033">
        <v>-201</v>
      </c>
      <c r="C348" s="3033">
        <v>83.46</v>
      </c>
    </row>
    <row r="349" spans="1:3">
      <c r="A349" s="3033"/>
      <c r="B349" s="3033">
        <v>-202</v>
      </c>
      <c r="C349" s="3033">
        <v>84.18</v>
      </c>
    </row>
    <row r="350" spans="1:3">
      <c r="A350" s="3033"/>
      <c r="B350" s="3033">
        <v>-203</v>
      </c>
      <c r="C350" s="3033">
        <v>84.18</v>
      </c>
    </row>
    <row r="351" spans="1:3">
      <c r="A351" s="3033"/>
      <c r="B351" s="3033">
        <v>-204</v>
      </c>
      <c r="C351" s="3033">
        <v>83.46</v>
      </c>
    </row>
    <row r="352" spans="1:3">
      <c r="A352" s="3033"/>
      <c r="B352" s="3033">
        <v>-205</v>
      </c>
      <c r="C352" s="3033">
        <v>84.18</v>
      </c>
    </row>
    <row r="353" spans="1:3">
      <c r="A353" s="3033"/>
      <c r="B353" s="3033">
        <v>-206</v>
      </c>
      <c r="C353" s="3033">
        <v>84.18</v>
      </c>
    </row>
    <row r="354" spans="1:3">
      <c r="A354" s="3033"/>
      <c r="B354" s="3033">
        <v>101</v>
      </c>
      <c r="C354" s="3033">
        <v>218.73000000000002</v>
      </c>
    </row>
    <row r="355" spans="1:3">
      <c r="A355" s="3033"/>
      <c r="B355" s="3033">
        <v>102</v>
      </c>
      <c r="C355" s="3033">
        <v>218.87</v>
      </c>
    </row>
    <row r="356" spans="1:3">
      <c r="A356" s="3033"/>
      <c r="B356" s="3033">
        <v>103</v>
      </c>
      <c r="C356" s="3033">
        <v>219.33999999999997</v>
      </c>
    </row>
    <row r="357" spans="1:3">
      <c r="A357" s="3033"/>
      <c r="B357" s="3033">
        <v>104</v>
      </c>
      <c r="C357" s="3033">
        <v>218.73000000000002</v>
      </c>
    </row>
    <row r="358" spans="1:3">
      <c r="A358" s="3033"/>
      <c r="B358" s="3033">
        <v>105</v>
      </c>
      <c r="C358" s="3033">
        <v>218.87</v>
      </c>
    </row>
    <row r="359" spans="1:3">
      <c r="A359" s="3033"/>
      <c r="B359" s="3033">
        <v>106</v>
      </c>
      <c r="C359" s="3033">
        <v>219.33999999999997</v>
      </c>
    </row>
    <row r="360" spans="1:3">
      <c r="A360" s="3033" t="s">
        <v>3072</v>
      </c>
      <c r="B360" s="3033">
        <v>-201</v>
      </c>
      <c r="C360" s="3033">
        <v>84.29</v>
      </c>
    </row>
    <row r="361" spans="1:3">
      <c r="A361" s="3033"/>
      <c r="B361" s="3033">
        <v>-202</v>
      </c>
      <c r="C361" s="3033">
        <v>84.29</v>
      </c>
    </row>
    <row r="362" spans="1:3">
      <c r="A362" s="3033"/>
      <c r="B362" s="3033">
        <v>-203</v>
      </c>
      <c r="C362" s="3033">
        <v>84.25</v>
      </c>
    </row>
    <row r="363" spans="1:3">
      <c r="A363" s="3033"/>
      <c r="B363" s="3033">
        <v>-204</v>
      </c>
      <c r="C363" s="3033">
        <v>84.29</v>
      </c>
    </row>
    <row r="364" spans="1:3">
      <c r="A364" s="3033"/>
      <c r="B364" s="3033">
        <v>-205</v>
      </c>
      <c r="C364" s="3033">
        <v>84.29</v>
      </c>
    </row>
    <row r="365" spans="1:3">
      <c r="A365" s="3033"/>
      <c r="B365" s="3033">
        <v>101</v>
      </c>
      <c r="C365" s="3033">
        <v>219.96999999999997</v>
      </c>
    </row>
    <row r="366" spans="1:3">
      <c r="A366" s="3033"/>
      <c r="B366" s="3033">
        <v>102</v>
      </c>
      <c r="C366" s="3033">
        <v>220.5</v>
      </c>
    </row>
    <row r="367" spans="1:3">
      <c r="A367" s="3033"/>
      <c r="B367" s="3033">
        <v>103</v>
      </c>
      <c r="C367" s="3033">
        <v>222.04</v>
      </c>
    </row>
    <row r="368" spans="1:3">
      <c r="A368" s="3033"/>
      <c r="B368" s="3033">
        <v>104</v>
      </c>
      <c r="C368" s="3033">
        <v>219.96999999999997</v>
      </c>
    </row>
    <row r="369" spans="1:3">
      <c r="A369" s="3033"/>
      <c r="B369" s="3033">
        <v>105</v>
      </c>
      <c r="C369" s="3033">
        <v>220.5</v>
      </c>
    </row>
    <row r="370" spans="1:3">
      <c r="A370" s="3033" t="s">
        <v>3111</v>
      </c>
      <c r="B370" s="3033">
        <v>-201</v>
      </c>
      <c r="C370" s="3033">
        <v>83.44</v>
      </c>
    </row>
    <row r="371" spans="1:3">
      <c r="A371" s="3033"/>
      <c r="B371" s="3033">
        <v>-202</v>
      </c>
      <c r="C371" s="3033">
        <v>84.16</v>
      </c>
    </row>
    <row r="372" spans="1:3">
      <c r="A372" s="3033"/>
      <c r="B372" s="3033">
        <v>-203</v>
      </c>
      <c r="C372" s="3033">
        <v>84.16</v>
      </c>
    </row>
    <row r="373" spans="1:3">
      <c r="A373" s="3033"/>
      <c r="B373" s="3033">
        <v>-204</v>
      </c>
      <c r="C373" s="3033">
        <v>83.44</v>
      </c>
    </row>
    <row r="374" spans="1:3">
      <c r="A374" s="3033"/>
      <c r="B374" s="3033">
        <v>-205</v>
      </c>
      <c r="C374" s="3033">
        <v>84.16</v>
      </c>
    </row>
    <row r="375" spans="1:3">
      <c r="A375" s="3033"/>
      <c r="B375" s="3033">
        <v>-206</v>
      </c>
      <c r="C375" s="3033">
        <v>84.16</v>
      </c>
    </row>
    <row r="376" spans="1:3">
      <c r="A376" s="3033"/>
      <c r="B376" s="3033">
        <v>101</v>
      </c>
      <c r="C376" s="3033">
        <v>218.54999999999998</v>
      </c>
    </row>
    <row r="377" spans="1:3">
      <c r="A377" s="3033"/>
      <c r="B377" s="3033">
        <v>102</v>
      </c>
      <c r="C377" s="3033">
        <v>218.69</v>
      </c>
    </row>
    <row r="378" spans="1:3">
      <c r="A378" s="3033"/>
      <c r="B378" s="3033">
        <v>103</v>
      </c>
      <c r="C378" s="3033">
        <v>219.16000000000003</v>
      </c>
    </row>
    <row r="379" spans="1:3">
      <c r="A379" s="3033"/>
      <c r="B379" s="3033">
        <v>104</v>
      </c>
      <c r="C379" s="3033">
        <v>218.54999999999998</v>
      </c>
    </row>
    <row r="380" spans="1:3">
      <c r="A380" s="3033"/>
      <c r="B380" s="3033">
        <v>105</v>
      </c>
      <c r="C380" s="3033">
        <v>218.69</v>
      </c>
    </row>
    <row r="381" spans="1:3">
      <c r="A381" s="3033"/>
      <c r="B381" s="3033">
        <v>106</v>
      </c>
      <c r="C381" s="3033">
        <v>219.16000000000003</v>
      </c>
    </row>
    <row r="382" spans="1:3">
      <c r="A382" s="3033" t="s">
        <v>3112</v>
      </c>
      <c r="B382" s="3033">
        <v>-201</v>
      </c>
      <c r="C382" s="3033">
        <v>83.44</v>
      </c>
    </row>
    <row r="383" spans="1:3">
      <c r="A383" s="3033"/>
      <c r="B383" s="3033">
        <v>-202</v>
      </c>
      <c r="C383" s="3033">
        <v>84.16</v>
      </c>
    </row>
    <row r="384" spans="1:3">
      <c r="A384" s="3033"/>
      <c r="B384" s="3033">
        <v>-203</v>
      </c>
      <c r="C384" s="3033">
        <v>84.16</v>
      </c>
    </row>
    <row r="385" spans="1:3">
      <c r="A385" s="3033"/>
      <c r="B385" s="3033">
        <v>-204</v>
      </c>
      <c r="C385" s="3033">
        <v>83.44</v>
      </c>
    </row>
    <row r="386" spans="1:3">
      <c r="A386" s="3033"/>
      <c r="B386" s="3033">
        <v>-205</v>
      </c>
      <c r="C386" s="3033">
        <v>84.16</v>
      </c>
    </row>
    <row r="387" spans="1:3">
      <c r="A387" s="3033"/>
      <c r="B387" s="3033">
        <v>-206</v>
      </c>
      <c r="C387" s="3033">
        <v>84.16</v>
      </c>
    </row>
    <row r="388" spans="1:3">
      <c r="A388" s="3033"/>
      <c r="B388" s="3033">
        <v>101</v>
      </c>
      <c r="C388" s="3033">
        <v>218.54999999999998</v>
      </c>
    </row>
    <row r="389" spans="1:3">
      <c r="A389" s="3033"/>
      <c r="B389" s="3033">
        <v>102</v>
      </c>
      <c r="C389" s="3033">
        <v>218.69</v>
      </c>
    </row>
    <row r="390" spans="1:3">
      <c r="A390" s="3033"/>
      <c r="B390" s="3033">
        <v>103</v>
      </c>
      <c r="C390" s="3033">
        <v>219.16000000000003</v>
      </c>
    </row>
    <row r="391" spans="1:3">
      <c r="A391" s="3033"/>
      <c r="B391" s="3033">
        <v>104</v>
      </c>
      <c r="C391" s="3033">
        <v>218.54999999999998</v>
      </c>
    </row>
    <row r="392" spans="1:3">
      <c r="A392" s="3033"/>
      <c r="B392" s="3033">
        <v>105</v>
      </c>
      <c r="C392" s="3033">
        <v>218.69</v>
      </c>
    </row>
    <row r="393" spans="1:3">
      <c r="A393" s="3033"/>
      <c r="B393" s="3033">
        <v>106</v>
      </c>
      <c r="C393" s="3033">
        <v>219.16000000000003</v>
      </c>
    </row>
    <row r="394" spans="1:3">
      <c r="A394" s="3033" t="s">
        <v>3113</v>
      </c>
      <c r="B394" s="3033">
        <v>-201</v>
      </c>
      <c r="C394" s="3033">
        <v>83.45</v>
      </c>
    </row>
    <row r="395" spans="1:3">
      <c r="A395" s="3033"/>
      <c r="B395" s="3033">
        <v>-202</v>
      </c>
      <c r="C395" s="3033">
        <v>84.17</v>
      </c>
    </row>
    <row r="396" spans="1:3">
      <c r="A396" s="3033"/>
      <c r="B396" s="3033">
        <v>-203</v>
      </c>
      <c r="C396" s="3033">
        <v>84.17</v>
      </c>
    </row>
    <row r="397" spans="1:3">
      <c r="A397" s="3033"/>
      <c r="B397" s="3033">
        <v>-204</v>
      </c>
      <c r="C397" s="3033">
        <v>83.45</v>
      </c>
    </row>
    <row r="398" spans="1:3">
      <c r="A398" s="3033"/>
      <c r="B398" s="3033">
        <v>-205</v>
      </c>
      <c r="C398" s="3033">
        <v>84.17</v>
      </c>
    </row>
    <row r="399" spans="1:3">
      <c r="A399" s="3033"/>
      <c r="B399" s="3033">
        <v>-206</v>
      </c>
      <c r="C399" s="3033">
        <v>84.17</v>
      </c>
    </row>
    <row r="400" spans="1:3">
      <c r="A400" s="3033"/>
      <c r="B400" s="3033">
        <v>101</v>
      </c>
      <c r="C400" s="3033">
        <v>218.64</v>
      </c>
    </row>
    <row r="401" spans="1:3">
      <c r="A401" s="3033"/>
      <c r="B401" s="3033">
        <v>102</v>
      </c>
      <c r="C401" s="3033">
        <v>218.76999999999998</v>
      </c>
    </row>
    <row r="402" spans="1:3">
      <c r="A402" s="3033"/>
      <c r="B402" s="3033">
        <v>103</v>
      </c>
      <c r="C402" s="3033">
        <v>219.24</v>
      </c>
    </row>
    <row r="403" spans="1:3">
      <c r="A403" s="3033"/>
      <c r="B403" s="3033">
        <v>104</v>
      </c>
      <c r="C403" s="3033">
        <v>218.64</v>
      </c>
    </row>
    <row r="404" spans="1:3">
      <c r="A404" s="3033"/>
      <c r="B404" s="3033">
        <v>105</v>
      </c>
      <c r="C404" s="3033">
        <v>218.76999999999998</v>
      </c>
    </row>
    <row r="405" spans="1:3">
      <c r="A405" s="3033"/>
      <c r="B405" s="3033">
        <v>106</v>
      </c>
      <c r="C405" s="3033">
        <v>219.24</v>
      </c>
    </row>
    <row r="406" spans="1:3">
      <c r="A406" s="3033" t="s">
        <v>3114</v>
      </c>
      <c r="B406" s="3033">
        <v>-201</v>
      </c>
      <c r="C406" s="3033">
        <v>83.45</v>
      </c>
    </row>
    <row r="407" spans="1:3">
      <c r="A407" s="3033"/>
      <c r="B407" s="3033">
        <v>-202</v>
      </c>
      <c r="C407" s="3033">
        <v>84.17</v>
      </c>
    </row>
    <row r="408" spans="1:3">
      <c r="A408" s="3033"/>
      <c r="B408" s="3033">
        <v>-203</v>
      </c>
      <c r="C408" s="3033">
        <v>84.17</v>
      </c>
    </row>
    <row r="409" spans="1:3">
      <c r="A409" s="3033"/>
      <c r="B409" s="3033">
        <v>-204</v>
      </c>
      <c r="C409" s="3033">
        <v>83.45</v>
      </c>
    </row>
    <row r="410" spans="1:3">
      <c r="A410" s="3033"/>
      <c r="B410" s="3033">
        <v>-205</v>
      </c>
      <c r="C410" s="3033">
        <v>84.17</v>
      </c>
    </row>
    <row r="411" spans="1:3">
      <c r="A411" s="3033"/>
      <c r="B411" s="3033">
        <v>-206</v>
      </c>
      <c r="C411" s="3033">
        <v>84.17</v>
      </c>
    </row>
    <row r="412" spans="1:3">
      <c r="A412" s="3033"/>
      <c r="B412" s="3033">
        <v>101</v>
      </c>
      <c r="C412" s="3033">
        <v>218.64</v>
      </c>
    </row>
    <row r="413" spans="1:3">
      <c r="A413" s="3033"/>
      <c r="B413" s="3033">
        <v>102</v>
      </c>
      <c r="C413" s="3033">
        <v>218.76999999999998</v>
      </c>
    </row>
    <row r="414" spans="1:3">
      <c r="A414" s="3033"/>
      <c r="B414" s="3033">
        <v>103</v>
      </c>
      <c r="C414" s="3033">
        <v>219.24</v>
      </c>
    </row>
    <row r="415" spans="1:3">
      <c r="A415" s="3033"/>
      <c r="B415" s="3033">
        <v>104</v>
      </c>
      <c r="C415" s="3033">
        <v>218.64</v>
      </c>
    </row>
    <row r="416" spans="1:3">
      <c r="A416" s="3033"/>
      <c r="B416" s="3033">
        <v>105</v>
      </c>
      <c r="C416" s="3033">
        <v>218.76999999999998</v>
      </c>
    </row>
    <row r="417" spans="1:3">
      <c r="A417" s="3033"/>
      <c r="B417" s="3033">
        <v>106</v>
      </c>
      <c r="C417" s="3033">
        <v>219.24</v>
      </c>
    </row>
    <row r="418" spans="1:3">
      <c r="A418" s="3033" t="s">
        <v>3115</v>
      </c>
      <c r="B418" s="3033">
        <v>-201</v>
      </c>
      <c r="C418" s="3033">
        <v>83.43</v>
      </c>
    </row>
    <row r="419" spans="1:3">
      <c r="A419" s="3033"/>
      <c r="B419" s="3033">
        <v>-202</v>
      </c>
      <c r="C419" s="3033">
        <v>84.15</v>
      </c>
    </row>
    <row r="420" spans="1:3">
      <c r="A420" s="3033"/>
      <c r="B420" s="3033">
        <v>-203</v>
      </c>
      <c r="C420" s="3033">
        <v>84.15</v>
      </c>
    </row>
    <row r="421" spans="1:3">
      <c r="A421" s="3033"/>
      <c r="B421" s="3033">
        <v>-204</v>
      </c>
      <c r="C421" s="3033">
        <v>83.43</v>
      </c>
    </row>
    <row r="422" spans="1:3">
      <c r="A422" s="3033"/>
      <c r="B422" s="3033">
        <v>-205</v>
      </c>
      <c r="C422" s="3033">
        <v>84.15</v>
      </c>
    </row>
    <row r="423" spans="1:3">
      <c r="A423" s="3033"/>
      <c r="B423" s="3033">
        <v>-206</v>
      </c>
      <c r="C423" s="3033">
        <v>84.15</v>
      </c>
    </row>
    <row r="424" spans="1:3">
      <c r="A424" s="3033"/>
      <c r="B424" s="3033">
        <v>101</v>
      </c>
      <c r="C424" s="3033">
        <v>218.46</v>
      </c>
    </row>
    <row r="425" spans="1:3">
      <c r="A425" s="3033"/>
      <c r="B425" s="3033">
        <v>102</v>
      </c>
      <c r="C425" s="3033">
        <v>218.58999999999997</v>
      </c>
    </row>
    <row r="426" spans="1:3">
      <c r="A426" s="3033"/>
      <c r="B426" s="3033">
        <v>103</v>
      </c>
      <c r="C426" s="3033">
        <v>219.06</v>
      </c>
    </row>
    <row r="427" spans="1:3">
      <c r="A427" s="3033"/>
      <c r="B427" s="3033">
        <v>104</v>
      </c>
      <c r="C427" s="3033">
        <v>218.46</v>
      </c>
    </row>
    <row r="428" spans="1:3">
      <c r="A428" s="3033"/>
      <c r="B428" s="3033">
        <v>105</v>
      </c>
      <c r="C428" s="3033">
        <v>218.58999999999997</v>
      </c>
    </row>
    <row r="429" spans="1:3">
      <c r="A429" s="3033"/>
      <c r="B429" s="3033">
        <v>106</v>
      </c>
      <c r="C429" s="3033">
        <v>219.06</v>
      </c>
    </row>
    <row r="430" spans="1:3">
      <c r="A430" s="3033" t="s">
        <v>3116</v>
      </c>
      <c r="B430" s="3033">
        <v>-201</v>
      </c>
      <c r="C430" s="3033">
        <v>83.59</v>
      </c>
    </row>
    <row r="431" spans="1:3">
      <c r="A431" s="3033"/>
      <c r="B431" s="3033">
        <v>-202</v>
      </c>
      <c r="C431" s="3033">
        <v>84.31</v>
      </c>
    </row>
    <row r="432" spans="1:3">
      <c r="A432" s="3033"/>
      <c r="B432" s="3033">
        <v>-203</v>
      </c>
      <c r="C432" s="3033">
        <v>83.59</v>
      </c>
    </row>
    <row r="433" spans="1:3">
      <c r="A433" s="3033"/>
      <c r="B433" s="3033">
        <v>-204</v>
      </c>
      <c r="C433" s="3033">
        <v>84.31</v>
      </c>
    </row>
    <row r="434" spans="1:3">
      <c r="A434" s="3033"/>
      <c r="B434" s="3033">
        <v>101</v>
      </c>
      <c r="C434" s="3033">
        <v>219.10000000000002</v>
      </c>
    </row>
    <row r="435" spans="1:3">
      <c r="A435" s="3033"/>
      <c r="B435" s="3033">
        <v>102</v>
      </c>
      <c r="C435" s="3033">
        <v>219.7</v>
      </c>
    </row>
    <row r="436" spans="1:3">
      <c r="A436" s="3033"/>
      <c r="B436" s="3033">
        <v>103</v>
      </c>
      <c r="C436" s="3033">
        <v>219.10000000000002</v>
      </c>
    </row>
    <row r="437" spans="1:3">
      <c r="A437" s="3033"/>
      <c r="B437" s="3033">
        <v>104</v>
      </c>
      <c r="C437" s="3033">
        <v>219.7</v>
      </c>
    </row>
    <row r="438" spans="1:3">
      <c r="A438" s="3033" t="s">
        <v>3117</v>
      </c>
      <c r="B438" s="3033">
        <v>-201</v>
      </c>
      <c r="C438" s="3033">
        <v>84.36</v>
      </c>
    </row>
    <row r="439" spans="1:3">
      <c r="A439" s="3033"/>
      <c r="B439" s="3033">
        <v>-202</v>
      </c>
      <c r="C439" s="3033">
        <v>85.08</v>
      </c>
    </row>
    <row r="440" spans="1:3">
      <c r="A440" s="3033"/>
      <c r="B440" s="3033">
        <v>-203</v>
      </c>
      <c r="C440" s="3033">
        <v>85.08</v>
      </c>
    </row>
    <row r="441" spans="1:3">
      <c r="A441" s="3033"/>
      <c r="B441" s="3033">
        <v>-204</v>
      </c>
      <c r="C441" s="3033">
        <v>85.08</v>
      </c>
    </row>
    <row r="442" spans="1:3">
      <c r="A442" s="3033"/>
      <c r="B442" s="3033">
        <v>101</v>
      </c>
      <c r="C442" s="3033">
        <v>224.95999999999998</v>
      </c>
    </row>
    <row r="443" spans="1:3">
      <c r="A443" s="3033"/>
      <c r="B443" s="3033">
        <v>102</v>
      </c>
      <c r="C443" s="3033">
        <v>225.10999999999999</v>
      </c>
    </row>
    <row r="444" spans="1:3">
      <c r="A444" s="3033"/>
      <c r="B444" s="3033">
        <v>103</v>
      </c>
      <c r="C444" s="3033">
        <v>225.25</v>
      </c>
    </row>
    <row r="445" spans="1:3">
      <c r="A445" s="3033"/>
      <c r="B445" s="3033">
        <v>104</v>
      </c>
      <c r="C445" s="3033">
        <v>225.82</v>
      </c>
    </row>
    <row r="446" spans="1:3">
      <c r="A446" s="3033" t="s">
        <v>3118</v>
      </c>
      <c r="B446" s="3033">
        <v>-201</v>
      </c>
      <c r="C446" s="3033">
        <v>83.44</v>
      </c>
    </row>
    <row r="447" spans="1:3">
      <c r="A447" s="3033"/>
      <c r="B447" s="3033">
        <v>-202</v>
      </c>
      <c r="C447" s="3033">
        <v>84.16</v>
      </c>
    </row>
    <row r="448" spans="1:3">
      <c r="A448" s="3033"/>
      <c r="B448" s="3033">
        <v>-203</v>
      </c>
      <c r="C448" s="3033">
        <v>84.16</v>
      </c>
    </row>
    <row r="449" spans="1:3">
      <c r="A449" s="3033"/>
      <c r="B449" s="3033">
        <v>-204</v>
      </c>
      <c r="C449" s="3033">
        <v>83.44</v>
      </c>
    </row>
    <row r="450" spans="1:3">
      <c r="A450" s="3033"/>
      <c r="B450" s="3033">
        <v>-205</v>
      </c>
      <c r="C450" s="3033">
        <v>84.16</v>
      </c>
    </row>
    <row r="451" spans="1:3">
      <c r="A451" s="3033"/>
      <c r="B451" s="3033">
        <v>-206</v>
      </c>
      <c r="C451" s="3033">
        <v>84.16</v>
      </c>
    </row>
    <row r="452" spans="1:3">
      <c r="A452" s="3033"/>
      <c r="B452" s="3033">
        <v>101</v>
      </c>
      <c r="C452" s="3033">
        <v>218.54999999999998</v>
      </c>
    </row>
    <row r="453" spans="1:3">
      <c r="A453" s="3033"/>
      <c r="B453" s="3033">
        <v>102</v>
      </c>
      <c r="C453" s="3033">
        <v>218.69</v>
      </c>
    </row>
    <row r="454" spans="1:3">
      <c r="A454" s="3033"/>
      <c r="B454" s="3033">
        <v>103</v>
      </c>
      <c r="C454" s="3033">
        <v>219.16000000000003</v>
      </c>
    </row>
    <row r="455" spans="1:3">
      <c r="A455" s="3033"/>
      <c r="B455" s="3033">
        <v>104</v>
      </c>
      <c r="C455" s="3033">
        <v>218.54999999999998</v>
      </c>
    </row>
    <row r="456" spans="1:3">
      <c r="A456" s="3033"/>
      <c r="B456" s="3033">
        <v>105</v>
      </c>
      <c r="C456" s="3033">
        <v>218.69</v>
      </c>
    </row>
    <row r="457" spans="1:3">
      <c r="A457" s="3033"/>
      <c r="B457" s="3033">
        <v>106</v>
      </c>
      <c r="C457" s="3033">
        <v>219.16000000000003</v>
      </c>
    </row>
    <row r="458" spans="1:3">
      <c r="A458" s="3033" t="s">
        <v>3119</v>
      </c>
      <c r="B458" s="3033">
        <v>-201</v>
      </c>
      <c r="C458" s="3033">
        <v>84.46</v>
      </c>
    </row>
    <row r="459" spans="1:3">
      <c r="A459" s="3033"/>
      <c r="B459" s="3033">
        <v>-202</v>
      </c>
      <c r="C459" s="3033">
        <v>85.18</v>
      </c>
    </row>
    <row r="460" spans="1:3">
      <c r="A460" s="3033"/>
      <c r="B460" s="3033">
        <v>-203</v>
      </c>
      <c r="C460" s="3033">
        <v>85.18</v>
      </c>
    </row>
    <row r="461" spans="1:3">
      <c r="A461" s="3033"/>
      <c r="B461" s="3033">
        <v>-204</v>
      </c>
      <c r="C461" s="3033">
        <v>85.18</v>
      </c>
    </row>
    <row r="462" spans="1:3">
      <c r="A462" s="3033"/>
      <c r="B462" s="3033">
        <v>101</v>
      </c>
      <c r="C462" s="3033">
        <v>224.94</v>
      </c>
    </row>
    <row r="463" spans="1:3">
      <c r="A463" s="3033"/>
      <c r="B463" s="3033">
        <v>102</v>
      </c>
      <c r="C463" s="3033">
        <v>225.09999999999997</v>
      </c>
    </row>
    <row r="464" spans="1:3">
      <c r="A464" s="3033"/>
      <c r="B464" s="3033">
        <v>103</v>
      </c>
      <c r="C464" s="3033">
        <v>225.09999999999997</v>
      </c>
    </row>
    <row r="465" spans="1:3">
      <c r="A465" s="3033"/>
      <c r="B465" s="3033">
        <v>104</v>
      </c>
      <c r="C465" s="3033">
        <v>225.67000000000002</v>
      </c>
    </row>
    <row r="466" spans="1:3">
      <c r="A466" s="3033" t="s">
        <v>3120</v>
      </c>
      <c r="B466" s="3033">
        <v>-201</v>
      </c>
      <c r="C466" s="3033">
        <v>83.36</v>
      </c>
    </row>
    <row r="467" spans="1:3">
      <c r="A467" s="3033"/>
      <c r="B467" s="3033">
        <v>-202</v>
      </c>
      <c r="C467" s="3033">
        <v>84.08</v>
      </c>
    </row>
    <row r="468" spans="1:3">
      <c r="A468" s="3033"/>
      <c r="B468" s="3033">
        <v>-203</v>
      </c>
      <c r="C468" s="3033">
        <v>84.08</v>
      </c>
    </row>
    <row r="469" spans="1:3">
      <c r="A469" s="3033"/>
      <c r="B469" s="3033">
        <v>-204</v>
      </c>
      <c r="C469" s="3033">
        <v>84.08</v>
      </c>
    </row>
    <row r="470" spans="1:3">
      <c r="A470" s="3033"/>
      <c r="B470" s="3033">
        <v>-205</v>
      </c>
      <c r="C470" s="3033">
        <v>83.36</v>
      </c>
    </row>
    <row r="471" spans="1:3">
      <c r="A471" s="3033"/>
      <c r="B471" s="3033">
        <v>-206</v>
      </c>
      <c r="C471" s="3033">
        <v>84.08</v>
      </c>
    </row>
    <row r="472" spans="1:3">
      <c r="A472" s="3033"/>
      <c r="B472" s="3033">
        <v>-207</v>
      </c>
      <c r="C472" s="3033">
        <v>84.08</v>
      </c>
    </row>
    <row r="473" spans="1:3">
      <c r="A473" s="3033"/>
      <c r="B473" s="3033">
        <v>-208</v>
      </c>
      <c r="C473" s="3033">
        <v>84.08</v>
      </c>
    </row>
    <row r="474" spans="1:3">
      <c r="A474" s="3033"/>
      <c r="B474" s="3033">
        <v>101</v>
      </c>
      <c r="C474" s="3033">
        <v>218.21</v>
      </c>
    </row>
    <row r="475" spans="1:3">
      <c r="A475" s="3033"/>
      <c r="B475" s="3033">
        <v>102</v>
      </c>
      <c r="C475" s="3033">
        <v>218.36</v>
      </c>
    </row>
    <row r="476" spans="1:3">
      <c r="A476" s="3033"/>
      <c r="B476" s="3033">
        <v>103</v>
      </c>
      <c r="C476" s="3033">
        <v>218.36</v>
      </c>
    </row>
    <row r="477" spans="1:3">
      <c r="A477" s="3033"/>
      <c r="B477" s="3033">
        <v>104</v>
      </c>
      <c r="C477" s="3033">
        <v>218.81</v>
      </c>
    </row>
    <row r="478" spans="1:3">
      <c r="A478" s="3033"/>
      <c r="B478" s="3033">
        <v>105</v>
      </c>
      <c r="C478" s="3033">
        <v>218.21</v>
      </c>
    </row>
    <row r="479" spans="1:3">
      <c r="A479" s="3033"/>
      <c r="B479" s="3033">
        <v>106</v>
      </c>
      <c r="C479" s="3033">
        <v>218.36</v>
      </c>
    </row>
    <row r="480" spans="1:3">
      <c r="A480" s="3033"/>
      <c r="B480" s="3033">
        <v>107</v>
      </c>
      <c r="C480" s="3033">
        <v>218.36</v>
      </c>
    </row>
    <row r="481" spans="1:3">
      <c r="A481" s="3033"/>
      <c r="B481" s="3033">
        <v>108</v>
      </c>
      <c r="C481" s="3033">
        <v>218.81</v>
      </c>
    </row>
    <row r="482" spans="1:3">
      <c r="A482" s="3033" t="s">
        <v>3121</v>
      </c>
      <c r="B482" s="3033">
        <v>-201</v>
      </c>
      <c r="C482" s="3033">
        <v>83.43</v>
      </c>
    </row>
    <row r="483" spans="1:3">
      <c r="A483" s="3033"/>
      <c r="B483" s="3033">
        <v>-202</v>
      </c>
      <c r="C483" s="3033">
        <v>84.15</v>
      </c>
    </row>
    <row r="484" spans="1:3">
      <c r="A484" s="3033"/>
      <c r="B484" s="3033">
        <v>-203</v>
      </c>
      <c r="C484" s="3033">
        <v>84.15</v>
      </c>
    </row>
    <row r="485" spans="1:3">
      <c r="A485" s="3033"/>
      <c r="B485" s="3033">
        <v>-204</v>
      </c>
      <c r="C485" s="3033">
        <v>83.43</v>
      </c>
    </row>
    <row r="486" spans="1:3">
      <c r="A486" s="3033"/>
      <c r="B486" s="3033">
        <v>-205</v>
      </c>
      <c r="C486" s="3033">
        <v>84.15</v>
      </c>
    </row>
    <row r="487" spans="1:3">
      <c r="A487" s="3033"/>
      <c r="B487" s="3033">
        <v>-206</v>
      </c>
      <c r="C487" s="3033">
        <v>84.15</v>
      </c>
    </row>
    <row r="488" spans="1:3">
      <c r="A488" s="3033"/>
      <c r="B488" s="3033">
        <v>101</v>
      </c>
      <c r="C488" s="3033">
        <v>218.46</v>
      </c>
    </row>
    <row r="489" spans="1:3">
      <c r="A489" s="3033"/>
      <c r="B489" s="3033">
        <v>102</v>
      </c>
      <c r="C489" s="3033">
        <v>218.58999999999997</v>
      </c>
    </row>
    <row r="490" spans="1:3">
      <c r="A490" s="3033"/>
      <c r="B490" s="3033">
        <v>103</v>
      </c>
      <c r="C490" s="3033">
        <v>219.06</v>
      </c>
    </row>
    <row r="491" spans="1:3">
      <c r="A491" s="3033"/>
      <c r="B491" s="3033">
        <v>104</v>
      </c>
      <c r="C491" s="3033">
        <v>218.46</v>
      </c>
    </row>
    <row r="492" spans="1:3">
      <c r="A492" s="3033"/>
      <c r="B492" s="3033">
        <v>105</v>
      </c>
      <c r="C492" s="3033">
        <v>218.58999999999997</v>
      </c>
    </row>
    <row r="493" spans="1:3">
      <c r="A493" s="3033"/>
      <c r="B493" s="3033">
        <v>106</v>
      </c>
      <c r="C493" s="3033">
        <v>219.06</v>
      </c>
    </row>
    <row r="494" spans="1:3">
      <c r="A494" s="3033" t="s">
        <v>3122</v>
      </c>
      <c r="B494" s="3033">
        <v>-201</v>
      </c>
      <c r="C494" s="3033">
        <v>83.43</v>
      </c>
    </row>
    <row r="495" spans="1:3">
      <c r="A495" s="3033"/>
      <c r="B495" s="3033">
        <v>-202</v>
      </c>
      <c r="C495" s="3033">
        <v>84.15</v>
      </c>
    </row>
    <row r="496" spans="1:3">
      <c r="A496" s="3033"/>
      <c r="B496" s="3033">
        <v>-203</v>
      </c>
      <c r="C496" s="3033">
        <v>84.15</v>
      </c>
    </row>
    <row r="497" spans="1:3">
      <c r="A497" s="3033"/>
      <c r="B497" s="3033">
        <v>-204</v>
      </c>
      <c r="C497" s="3033">
        <v>83.43</v>
      </c>
    </row>
    <row r="498" spans="1:3">
      <c r="A498" s="3033"/>
      <c r="B498" s="3033">
        <v>-205</v>
      </c>
      <c r="C498" s="3033">
        <v>84.15</v>
      </c>
    </row>
    <row r="499" spans="1:3">
      <c r="A499" s="3033"/>
      <c r="B499" s="3033">
        <v>-206</v>
      </c>
      <c r="C499" s="3033">
        <v>84.15</v>
      </c>
    </row>
    <row r="500" spans="1:3">
      <c r="A500" s="3033"/>
      <c r="B500" s="3033">
        <v>101</v>
      </c>
      <c r="C500" s="3033">
        <v>218.46</v>
      </c>
    </row>
    <row r="501" spans="1:3">
      <c r="A501" s="3033"/>
      <c r="B501" s="3033">
        <v>102</v>
      </c>
      <c r="C501" s="3033">
        <v>218.58999999999997</v>
      </c>
    </row>
    <row r="502" spans="1:3">
      <c r="A502" s="3033"/>
      <c r="B502" s="3033">
        <v>103</v>
      </c>
      <c r="C502" s="3033">
        <v>219.06</v>
      </c>
    </row>
    <row r="503" spans="1:3">
      <c r="A503" s="3033"/>
      <c r="B503" s="3033">
        <v>104</v>
      </c>
      <c r="C503" s="3033">
        <v>218.46</v>
      </c>
    </row>
    <row r="504" spans="1:3">
      <c r="A504" s="3033"/>
      <c r="B504" s="3033">
        <v>105</v>
      </c>
      <c r="C504" s="3033">
        <v>218.58999999999997</v>
      </c>
    </row>
    <row r="505" spans="1:3">
      <c r="A505" s="3033"/>
      <c r="B505" s="3033">
        <v>106</v>
      </c>
      <c r="C505" s="3033">
        <v>219.06</v>
      </c>
    </row>
    <row r="506" spans="1:3">
      <c r="A506" s="3033" t="s">
        <v>3123</v>
      </c>
      <c r="B506" s="3033">
        <v>-201</v>
      </c>
      <c r="C506" s="3033">
        <v>83.37</v>
      </c>
    </row>
    <row r="507" spans="1:3">
      <c r="A507" s="3033"/>
      <c r="B507" s="3033">
        <v>-202</v>
      </c>
      <c r="C507" s="3033">
        <v>84.09</v>
      </c>
    </row>
    <row r="508" spans="1:3">
      <c r="A508" s="3033"/>
      <c r="B508" s="3033">
        <v>-203</v>
      </c>
      <c r="C508" s="3033">
        <v>84.09</v>
      </c>
    </row>
    <row r="509" spans="1:3">
      <c r="A509" s="3033"/>
      <c r="B509" s="3033">
        <v>-204</v>
      </c>
      <c r="C509" s="3033">
        <v>84.09</v>
      </c>
    </row>
    <row r="510" spans="1:3">
      <c r="A510" s="3033"/>
      <c r="B510" s="3033">
        <v>-205</v>
      </c>
      <c r="C510" s="3033">
        <v>83.37</v>
      </c>
    </row>
    <row r="511" spans="1:3">
      <c r="A511" s="3033"/>
      <c r="B511" s="3033">
        <v>-206</v>
      </c>
      <c r="C511" s="3033">
        <v>84.09</v>
      </c>
    </row>
    <row r="512" spans="1:3">
      <c r="A512" s="3033"/>
      <c r="B512" s="3033">
        <v>-207</v>
      </c>
      <c r="C512" s="3033">
        <v>84.09</v>
      </c>
    </row>
    <row r="513" spans="1:3">
      <c r="A513" s="3033"/>
      <c r="B513" s="3033">
        <v>-208</v>
      </c>
      <c r="C513" s="3033">
        <v>84.09</v>
      </c>
    </row>
    <row r="514" spans="1:3">
      <c r="A514" s="3033"/>
      <c r="B514" s="3033">
        <v>101</v>
      </c>
      <c r="C514" s="3033">
        <v>218.26999999999998</v>
      </c>
    </row>
    <row r="515" spans="1:3">
      <c r="A515" s="3033"/>
      <c r="B515" s="3033">
        <v>102</v>
      </c>
      <c r="C515" s="3033">
        <v>218.42</v>
      </c>
    </row>
    <row r="516" spans="1:3">
      <c r="A516" s="3033"/>
      <c r="B516" s="3033">
        <v>103</v>
      </c>
      <c r="C516" s="3033">
        <v>218.42</v>
      </c>
    </row>
    <row r="517" spans="1:3">
      <c r="A517" s="3033"/>
      <c r="B517" s="3033">
        <v>104</v>
      </c>
      <c r="C517" s="3033">
        <v>218.87</v>
      </c>
    </row>
    <row r="518" spans="1:3">
      <c r="A518" s="3033"/>
      <c r="B518" s="3033">
        <v>105</v>
      </c>
      <c r="C518" s="3033">
        <v>218.26999999999998</v>
      </c>
    </row>
    <row r="519" spans="1:3">
      <c r="A519" s="3033"/>
      <c r="B519" s="3033">
        <v>106</v>
      </c>
      <c r="C519" s="3033">
        <v>218.42</v>
      </c>
    </row>
    <row r="520" spans="1:3">
      <c r="A520" s="3033"/>
      <c r="B520" s="3033">
        <v>107</v>
      </c>
      <c r="C520" s="3033">
        <v>218.42</v>
      </c>
    </row>
    <row r="521" spans="1:3">
      <c r="A521" s="3033"/>
      <c r="B521" s="3033">
        <v>108</v>
      </c>
      <c r="C521" s="3033">
        <v>218.87</v>
      </c>
    </row>
    <row r="522" spans="1:3">
      <c r="A522" s="3033" t="s">
        <v>3124</v>
      </c>
      <c r="B522" s="3033">
        <v>-201</v>
      </c>
      <c r="C522" s="3033">
        <v>83.36</v>
      </c>
    </row>
    <row r="523" spans="1:3">
      <c r="A523" s="3033"/>
      <c r="B523" s="3033">
        <v>-202</v>
      </c>
      <c r="C523" s="3033">
        <v>84.08</v>
      </c>
    </row>
    <row r="524" spans="1:3">
      <c r="A524" s="3033"/>
      <c r="B524" s="3033">
        <v>-203</v>
      </c>
      <c r="C524" s="3033">
        <v>84.08</v>
      </c>
    </row>
    <row r="525" spans="1:3">
      <c r="A525" s="3033"/>
      <c r="B525" s="3033">
        <v>-204</v>
      </c>
      <c r="C525" s="3033">
        <v>84.08</v>
      </c>
    </row>
    <row r="526" spans="1:3">
      <c r="A526" s="3033"/>
      <c r="B526" s="3033">
        <v>-205</v>
      </c>
      <c r="C526" s="3033">
        <v>83.36</v>
      </c>
    </row>
    <row r="527" spans="1:3">
      <c r="A527" s="3033"/>
      <c r="B527" s="3033">
        <v>-206</v>
      </c>
      <c r="C527" s="3033">
        <v>84.08</v>
      </c>
    </row>
    <row r="528" spans="1:3">
      <c r="A528" s="3033"/>
      <c r="B528" s="3033">
        <v>-207</v>
      </c>
      <c r="C528" s="3033">
        <v>84.08</v>
      </c>
    </row>
    <row r="529" spans="1:3">
      <c r="A529" s="3033"/>
      <c r="B529" s="3033">
        <v>-208</v>
      </c>
      <c r="C529" s="3033">
        <v>84.08</v>
      </c>
    </row>
    <row r="530" spans="1:3">
      <c r="A530" s="3033"/>
      <c r="B530" s="3033">
        <v>101</v>
      </c>
      <c r="C530" s="3033">
        <v>218.20000000000002</v>
      </c>
    </row>
    <row r="531" spans="1:3">
      <c r="A531" s="3033"/>
      <c r="B531" s="3033">
        <v>102</v>
      </c>
      <c r="C531" s="3033">
        <v>218.35000000000002</v>
      </c>
    </row>
    <row r="532" spans="1:3">
      <c r="A532" s="3033"/>
      <c r="B532" s="3033">
        <v>103</v>
      </c>
      <c r="C532" s="3033">
        <v>218.35000000000002</v>
      </c>
    </row>
    <row r="533" spans="1:3">
      <c r="A533" s="3033"/>
      <c r="B533" s="3033">
        <v>104</v>
      </c>
      <c r="C533" s="3033">
        <v>218.81</v>
      </c>
    </row>
    <row r="534" spans="1:3">
      <c r="A534" s="3033"/>
      <c r="B534" s="3033">
        <v>105</v>
      </c>
      <c r="C534" s="3033">
        <v>218.20000000000002</v>
      </c>
    </row>
    <row r="535" spans="1:3">
      <c r="A535" s="3033"/>
      <c r="B535" s="3033">
        <v>106</v>
      </c>
      <c r="C535" s="3033">
        <v>218.35000000000002</v>
      </c>
    </row>
    <row r="536" spans="1:3">
      <c r="A536" s="3033"/>
      <c r="B536" s="3033">
        <v>107</v>
      </c>
      <c r="C536" s="3033">
        <v>218.35000000000002</v>
      </c>
    </row>
    <row r="537" spans="1:3">
      <c r="A537" s="3033"/>
      <c r="B537" s="3033">
        <v>108</v>
      </c>
      <c r="C537" s="3033">
        <v>218.81</v>
      </c>
    </row>
    <row r="538" spans="1:3">
      <c r="A538" s="3033" t="s">
        <v>3125</v>
      </c>
      <c r="B538" s="3033">
        <v>-101</v>
      </c>
      <c r="C538" s="3033">
        <v>70.25</v>
      </c>
    </row>
    <row r="539" spans="1:3">
      <c r="A539" s="3033"/>
      <c r="B539" s="3033">
        <v>-102</v>
      </c>
      <c r="C539" s="3033">
        <v>70.25</v>
      </c>
    </row>
    <row r="540" spans="1:3">
      <c r="A540" s="3033"/>
      <c r="B540" s="3033">
        <v>101</v>
      </c>
      <c r="C540" s="3033">
        <v>515.19000000000005</v>
      </c>
    </row>
    <row r="541" spans="1:3">
      <c r="A541" s="3033"/>
      <c r="B541" s="3033">
        <v>102</v>
      </c>
      <c r="C541" s="3033">
        <v>515.12</v>
      </c>
    </row>
    <row r="542" spans="1:3">
      <c r="A542" s="3033" t="s">
        <v>3126</v>
      </c>
      <c r="B542" s="3033">
        <v>-101</v>
      </c>
      <c r="C542" s="3033">
        <v>70.25</v>
      </c>
    </row>
    <row r="543" spans="1:3">
      <c r="A543" s="3033"/>
      <c r="B543" s="3033">
        <v>-102</v>
      </c>
      <c r="C543" s="3033">
        <v>70.25</v>
      </c>
    </row>
    <row r="544" spans="1:3">
      <c r="A544" s="3033"/>
      <c r="B544" s="3033">
        <v>101</v>
      </c>
      <c r="C544" s="3033">
        <v>515.19000000000005</v>
      </c>
    </row>
    <row r="545" spans="1:3">
      <c r="A545" s="3033"/>
      <c r="B545" s="3033">
        <v>102</v>
      </c>
      <c r="C545" s="3033">
        <v>515.12</v>
      </c>
    </row>
    <row r="546" spans="1:3">
      <c r="A546" s="3033" t="s">
        <v>3127</v>
      </c>
      <c r="B546" s="3033">
        <v>-201</v>
      </c>
      <c r="C546" s="3033">
        <v>83.36</v>
      </c>
    </row>
    <row r="547" spans="1:3">
      <c r="A547" s="3033"/>
      <c r="B547" s="3033">
        <v>-202</v>
      </c>
      <c r="C547" s="3033">
        <v>84.08</v>
      </c>
    </row>
    <row r="548" spans="1:3">
      <c r="A548" s="3033"/>
      <c r="B548" s="3033">
        <v>-203</v>
      </c>
      <c r="C548" s="3033">
        <v>84.08</v>
      </c>
    </row>
    <row r="549" spans="1:3">
      <c r="A549" s="3033"/>
      <c r="B549" s="3033">
        <v>-204</v>
      </c>
      <c r="C549" s="3033">
        <v>84.08</v>
      </c>
    </row>
    <row r="550" spans="1:3">
      <c r="A550" s="3033"/>
      <c r="B550" s="3033">
        <v>-205</v>
      </c>
      <c r="C550" s="3033">
        <v>83.36</v>
      </c>
    </row>
    <row r="551" spans="1:3">
      <c r="A551" s="3033"/>
      <c r="B551" s="3033">
        <v>-206</v>
      </c>
      <c r="C551" s="3033">
        <v>84.08</v>
      </c>
    </row>
    <row r="552" spans="1:3">
      <c r="A552" s="3033"/>
      <c r="B552" s="3033">
        <v>-207</v>
      </c>
      <c r="C552" s="3033">
        <v>84.08</v>
      </c>
    </row>
    <row r="553" spans="1:3">
      <c r="A553" s="3033"/>
      <c r="B553" s="3033">
        <v>-208</v>
      </c>
      <c r="C553" s="3033">
        <v>84.08</v>
      </c>
    </row>
    <row r="554" spans="1:3">
      <c r="A554" s="3033"/>
      <c r="B554" s="3033">
        <v>101</v>
      </c>
      <c r="C554" s="3033">
        <v>218.20000000000002</v>
      </c>
    </row>
    <row r="555" spans="1:3">
      <c r="A555" s="3033"/>
      <c r="B555" s="3033">
        <v>102</v>
      </c>
      <c r="C555" s="3033">
        <v>218.35000000000002</v>
      </c>
    </row>
    <row r="556" spans="1:3">
      <c r="A556" s="3033"/>
      <c r="B556" s="3033">
        <v>103</v>
      </c>
      <c r="C556" s="3033">
        <v>218.35000000000002</v>
      </c>
    </row>
    <row r="557" spans="1:3">
      <c r="A557" s="3033"/>
      <c r="B557" s="3033">
        <v>104</v>
      </c>
      <c r="C557" s="3033">
        <v>218.81</v>
      </c>
    </row>
    <row r="558" spans="1:3">
      <c r="A558" s="3033"/>
      <c r="B558" s="3033">
        <v>105</v>
      </c>
      <c r="C558" s="3033">
        <v>218.20000000000002</v>
      </c>
    </row>
    <row r="559" spans="1:3">
      <c r="A559" s="3033"/>
      <c r="B559" s="3033">
        <v>106</v>
      </c>
      <c r="C559" s="3033">
        <v>218.35000000000002</v>
      </c>
    </row>
    <row r="560" spans="1:3">
      <c r="A560" s="3033"/>
      <c r="B560" s="3033">
        <v>107</v>
      </c>
      <c r="C560" s="3033">
        <v>218.35000000000002</v>
      </c>
    </row>
    <row r="561" spans="1:3">
      <c r="A561" s="3033"/>
      <c r="B561" s="3033">
        <v>108</v>
      </c>
      <c r="C561" s="3033">
        <v>218.81</v>
      </c>
    </row>
    <row r="562" spans="1:3">
      <c r="A562" s="3033" t="s">
        <v>3128</v>
      </c>
      <c r="B562" s="3033">
        <v>-201</v>
      </c>
      <c r="C562" s="3033">
        <v>83.36</v>
      </c>
    </row>
    <row r="563" spans="1:3">
      <c r="A563" s="3033"/>
      <c r="B563" s="3033">
        <v>-202</v>
      </c>
      <c r="C563" s="3033">
        <v>84.08</v>
      </c>
    </row>
    <row r="564" spans="1:3">
      <c r="A564" s="3033"/>
      <c r="B564" s="3033">
        <v>-203</v>
      </c>
      <c r="C564" s="3033">
        <v>84.08</v>
      </c>
    </row>
    <row r="565" spans="1:3">
      <c r="A565" s="3033"/>
      <c r="B565" s="3033">
        <v>-204</v>
      </c>
      <c r="C565" s="3033">
        <v>84.08</v>
      </c>
    </row>
    <row r="566" spans="1:3">
      <c r="A566" s="3033"/>
      <c r="B566" s="3033">
        <v>-205</v>
      </c>
      <c r="C566" s="3033">
        <v>83.36</v>
      </c>
    </row>
    <row r="567" spans="1:3">
      <c r="A567" s="3033"/>
      <c r="B567" s="3033">
        <v>-206</v>
      </c>
      <c r="C567" s="3033">
        <v>84.08</v>
      </c>
    </row>
    <row r="568" spans="1:3">
      <c r="A568" s="3033"/>
      <c r="B568" s="3033">
        <v>-207</v>
      </c>
      <c r="C568" s="3033">
        <v>84.08</v>
      </c>
    </row>
    <row r="569" spans="1:3">
      <c r="A569" s="3033"/>
      <c r="B569" s="3033">
        <v>-208</v>
      </c>
      <c r="C569" s="3033">
        <v>84.08</v>
      </c>
    </row>
    <row r="570" spans="1:3">
      <c r="A570" s="3033"/>
      <c r="B570" s="3033">
        <v>101</v>
      </c>
      <c r="C570" s="3033">
        <v>218.20000000000002</v>
      </c>
    </row>
    <row r="571" spans="1:3">
      <c r="A571" s="3033"/>
      <c r="B571" s="3033">
        <v>102</v>
      </c>
      <c r="C571" s="3033">
        <v>218.35000000000002</v>
      </c>
    </row>
    <row r="572" spans="1:3">
      <c r="A572" s="3033"/>
      <c r="B572" s="3033">
        <v>103</v>
      </c>
      <c r="C572" s="3033">
        <v>218.35000000000002</v>
      </c>
    </row>
    <row r="573" spans="1:3">
      <c r="A573" s="3033"/>
      <c r="B573" s="3033">
        <v>104</v>
      </c>
      <c r="C573" s="3033">
        <v>218.81</v>
      </c>
    </row>
    <row r="574" spans="1:3">
      <c r="A574" s="3033"/>
      <c r="B574" s="3033">
        <v>105</v>
      </c>
      <c r="C574" s="3033">
        <v>218.20000000000002</v>
      </c>
    </row>
    <row r="575" spans="1:3">
      <c r="A575" s="3033"/>
      <c r="B575" s="3033">
        <v>106</v>
      </c>
      <c r="C575" s="3033">
        <v>218.35000000000002</v>
      </c>
    </row>
    <row r="576" spans="1:3">
      <c r="A576" s="3033"/>
      <c r="B576" s="3033">
        <v>107</v>
      </c>
      <c r="C576" s="3033">
        <v>218.35000000000002</v>
      </c>
    </row>
    <row r="577" spans="1:3">
      <c r="A577" s="3033"/>
      <c r="B577" s="3033">
        <v>108</v>
      </c>
      <c r="C577" s="3033">
        <v>218.81</v>
      </c>
    </row>
    <row r="578" spans="1:3">
      <c r="A578" s="3033" t="s">
        <v>3129</v>
      </c>
      <c r="B578" s="3033">
        <v>-201</v>
      </c>
      <c r="C578" s="3033">
        <v>83.46</v>
      </c>
    </row>
    <row r="579" spans="1:3">
      <c r="A579" s="3033"/>
      <c r="B579" s="3033">
        <v>-202</v>
      </c>
      <c r="C579" s="3033">
        <v>84.18</v>
      </c>
    </row>
    <row r="580" spans="1:3">
      <c r="A580" s="3033"/>
      <c r="B580" s="3033">
        <v>-203</v>
      </c>
      <c r="C580" s="3033">
        <v>84.18</v>
      </c>
    </row>
    <row r="581" spans="1:3">
      <c r="A581" s="3033"/>
      <c r="B581" s="3033">
        <v>-204</v>
      </c>
      <c r="C581" s="3033">
        <v>83.46</v>
      </c>
    </row>
    <row r="582" spans="1:3">
      <c r="A582" s="3033"/>
      <c r="B582" s="3033">
        <v>-205</v>
      </c>
      <c r="C582" s="3033">
        <v>84.18</v>
      </c>
    </row>
    <row r="583" spans="1:3">
      <c r="A583" s="3033"/>
      <c r="B583" s="3033">
        <v>-206</v>
      </c>
      <c r="C583" s="3033">
        <v>84.18</v>
      </c>
    </row>
    <row r="584" spans="1:3">
      <c r="A584" s="3033"/>
      <c r="B584" s="3033">
        <v>101</v>
      </c>
      <c r="C584" s="3033">
        <v>218.73000000000002</v>
      </c>
    </row>
    <row r="585" spans="1:3">
      <c r="A585" s="3033"/>
      <c r="B585" s="3033">
        <v>102</v>
      </c>
      <c r="C585" s="3033">
        <v>218.87</v>
      </c>
    </row>
    <row r="586" spans="1:3">
      <c r="A586" s="3033"/>
      <c r="B586" s="3033">
        <v>103</v>
      </c>
      <c r="C586" s="3033">
        <v>219.33999999999997</v>
      </c>
    </row>
    <row r="587" spans="1:3">
      <c r="A587" s="3033"/>
      <c r="B587" s="3033">
        <v>104</v>
      </c>
      <c r="C587" s="3033">
        <v>218.73000000000002</v>
      </c>
    </row>
    <row r="588" spans="1:3">
      <c r="A588" s="3033"/>
      <c r="B588" s="3033">
        <v>105</v>
      </c>
      <c r="C588" s="3033">
        <v>218.87</v>
      </c>
    </row>
    <row r="589" spans="1:3">
      <c r="A589" s="3033"/>
      <c r="B589" s="3033">
        <v>106</v>
      </c>
      <c r="C589" s="3033">
        <v>219.33999999999997</v>
      </c>
    </row>
    <row r="590" spans="1:3">
      <c r="A590" s="3033" t="s">
        <v>3130</v>
      </c>
      <c r="B590" s="3033">
        <v>-201</v>
      </c>
      <c r="C590" s="3033">
        <v>83.45</v>
      </c>
    </row>
    <row r="591" spans="1:3">
      <c r="A591" s="3033"/>
      <c r="B591" s="3033">
        <v>-202</v>
      </c>
      <c r="C591" s="3033">
        <v>84.18</v>
      </c>
    </row>
    <row r="592" spans="1:3">
      <c r="A592" s="3033"/>
      <c r="B592" s="3033">
        <v>-203</v>
      </c>
      <c r="C592" s="3033">
        <v>84.18</v>
      </c>
    </row>
    <row r="593" spans="1:3">
      <c r="A593" s="3033"/>
      <c r="B593" s="3033">
        <v>-204</v>
      </c>
      <c r="C593" s="3033">
        <v>83.45</v>
      </c>
    </row>
    <row r="594" spans="1:3">
      <c r="A594" s="3033"/>
      <c r="B594" s="3033">
        <v>-205</v>
      </c>
      <c r="C594" s="3033">
        <v>84.18</v>
      </c>
    </row>
    <row r="595" spans="1:3">
      <c r="A595" s="3033"/>
      <c r="B595" s="3033">
        <v>-206</v>
      </c>
      <c r="C595" s="3033">
        <v>84.18</v>
      </c>
    </row>
    <row r="596" spans="1:3">
      <c r="A596" s="3033"/>
      <c r="B596" s="3033">
        <v>101</v>
      </c>
      <c r="C596" s="3033">
        <v>218.67000000000002</v>
      </c>
    </row>
    <row r="597" spans="1:3">
      <c r="A597" s="3033"/>
      <c r="B597" s="3033">
        <v>102</v>
      </c>
      <c r="C597" s="3033">
        <v>218.8</v>
      </c>
    </row>
    <row r="598" spans="1:3">
      <c r="A598" s="3033"/>
      <c r="B598" s="3033">
        <v>103</v>
      </c>
      <c r="C598" s="3033">
        <v>219.27</v>
      </c>
    </row>
    <row r="599" spans="1:3">
      <c r="A599" s="3033"/>
      <c r="B599" s="3033">
        <v>104</v>
      </c>
      <c r="C599" s="3033">
        <v>218.67000000000002</v>
      </c>
    </row>
    <row r="600" spans="1:3">
      <c r="A600" s="3033"/>
      <c r="B600" s="3033">
        <v>105</v>
      </c>
      <c r="C600" s="3033">
        <v>218.8</v>
      </c>
    </row>
    <row r="601" spans="1:3">
      <c r="A601" s="3033"/>
      <c r="B601" s="3033">
        <v>106</v>
      </c>
      <c r="C601" s="3033">
        <v>219.27</v>
      </c>
    </row>
    <row r="602" spans="1:3">
      <c r="A602" s="3033" t="s">
        <v>3131</v>
      </c>
      <c r="B602" s="3033">
        <v>-201</v>
      </c>
      <c r="C602" s="3033">
        <v>83.38</v>
      </c>
    </row>
    <row r="603" spans="1:3">
      <c r="A603" s="3033"/>
      <c r="B603" s="3033">
        <v>-202</v>
      </c>
      <c r="C603" s="3033">
        <v>84.1</v>
      </c>
    </row>
    <row r="604" spans="1:3">
      <c r="A604" s="3033"/>
      <c r="B604" s="3033">
        <v>-203</v>
      </c>
      <c r="C604" s="3033">
        <v>84.1</v>
      </c>
    </row>
    <row r="605" spans="1:3">
      <c r="A605" s="3033"/>
      <c r="B605" s="3033">
        <v>-204</v>
      </c>
      <c r="C605" s="3033">
        <v>84.1</v>
      </c>
    </row>
    <row r="606" spans="1:3">
      <c r="A606" s="3033"/>
      <c r="B606" s="3033">
        <v>-205</v>
      </c>
      <c r="C606" s="3033">
        <v>83.38</v>
      </c>
    </row>
    <row r="607" spans="1:3">
      <c r="A607" s="3033"/>
      <c r="B607" s="3033">
        <v>-206</v>
      </c>
      <c r="C607" s="3033">
        <v>84.1</v>
      </c>
    </row>
    <row r="608" spans="1:3">
      <c r="A608" s="3033"/>
      <c r="B608" s="3033">
        <v>-207</v>
      </c>
      <c r="C608" s="3033">
        <v>84.1</v>
      </c>
    </row>
    <row r="609" spans="1:3">
      <c r="A609" s="3033"/>
      <c r="B609" s="3033">
        <v>-208</v>
      </c>
      <c r="C609" s="3033">
        <v>84.1</v>
      </c>
    </row>
    <row r="610" spans="1:3">
      <c r="A610" s="3033"/>
      <c r="B610" s="3033">
        <v>101</v>
      </c>
      <c r="C610" s="3033">
        <v>218.34000000000003</v>
      </c>
    </row>
    <row r="611" spans="1:3">
      <c r="A611" s="3033"/>
      <c r="B611" s="3033">
        <v>102</v>
      </c>
      <c r="C611" s="3033">
        <v>218.49</v>
      </c>
    </row>
    <row r="612" spans="1:3">
      <c r="A612" s="3033"/>
      <c r="B612" s="3033">
        <v>103</v>
      </c>
      <c r="C612" s="3033">
        <v>218.49</v>
      </c>
    </row>
    <row r="613" spans="1:3">
      <c r="A613" s="3033"/>
      <c r="B613" s="3033">
        <v>104</v>
      </c>
      <c r="C613" s="3033">
        <v>218.94</v>
      </c>
    </row>
    <row r="614" spans="1:3">
      <c r="A614" s="3033"/>
      <c r="B614" s="3033">
        <v>105</v>
      </c>
      <c r="C614" s="3033">
        <v>218.34000000000003</v>
      </c>
    </row>
    <row r="615" spans="1:3">
      <c r="A615" s="3033"/>
      <c r="B615" s="3033">
        <v>106</v>
      </c>
      <c r="C615" s="3033">
        <v>218.49</v>
      </c>
    </row>
    <row r="616" spans="1:3">
      <c r="A616" s="3033"/>
      <c r="B616" s="3033">
        <v>107</v>
      </c>
      <c r="C616" s="3033">
        <v>218.49</v>
      </c>
    </row>
    <row r="617" spans="1:3">
      <c r="A617" s="3033"/>
      <c r="B617" s="3033">
        <v>108</v>
      </c>
      <c r="C617" s="3033">
        <v>218.94</v>
      </c>
    </row>
    <row r="618" spans="1:3">
      <c r="A618" s="3033" t="s">
        <v>3132</v>
      </c>
      <c r="B618" s="3033">
        <v>-201</v>
      </c>
      <c r="C618" s="3033">
        <v>84.35</v>
      </c>
    </row>
    <row r="619" spans="1:3">
      <c r="A619" s="3033"/>
      <c r="B619" s="3033">
        <v>-202</v>
      </c>
      <c r="C619" s="3033">
        <v>85.07</v>
      </c>
    </row>
    <row r="620" spans="1:3">
      <c r="A620" s="3033"/>
      <c r="B620" s="3033">
        <v>-203</v>
      </c>
      <c r="C620" s="3033">
        <v>85.07</v>
      </c>
    </row>
    <row r="621" spans="1:3">
      <c r="A621" s="3033"/>
      <c r="B621" s="3033">
        <v>-204</v>
      </c>
      <c r="C621" s="3033">
        <v>85.07</v>
      </c>
    </row>
    <row r="622" spans="1:3">
      <c r="A622" s="3033"/>
      <c r="B622" s="3033">
        <v>101</v>
      </c>
      <c r="C622" s="3033">
        <v>224.93</v>
      </c>
    </row>
    <row r="623" spans="1:3">
      <c r="A623" s="3033"/>
      <c r="B623" s="3033">
        <v>102</v>
      </c>
      <c r="C623" s="3033">
        <v>225.08</v>
      </c>
    </row>
    <row r="624" spans="1:3">
      <c r="A624" s="3033"/>
      <c r="B624" s="3033">
        <v>103</v>
      </c>
      <c r="C624" s="3033">
        <v>225.08</v>
      </c>
    </row>
    <row r="625" spans="1:3">
      <c r="A625" s="3033"/>
      <c r="B625" s="3033">
        <v>104</v>
      </c>
      <c r="C625" s="3033">
        <v>225.57</v>
      </c>
    </row>
    <row r="626" spans="1:3">
      <c r="A626" s="3033" t="s">
        <v>3133</v>
      </c>
      <c r="B626" s="3033">
        <v>-201</v>
      </c>
      <c r="C626" s="3033">
        <v>84.4</v>
      </c>
    </row>
    <row r="627" spans="1:3">
      <c r="A627" s="3033"/>
      <c r="B627" s="3033">
        <v>-202</v>
      </c>
      <c r="C627" s="3033">
        <v>85.12</v>
      </c>
    </row>
    <row r="628" spans="1:3">
      <c r="A628" s="3033"/>
      <c r="B628" s="3033">
        <v>-203</v>
      </c>
      <c r="C628" s="3033">
        <v>85.12</v>
      </c>
    </row>
    <row r="629" spans="1:3">
      <c r="A629" s="3033"/>
      <c r="B629" s="3033">
        <v>101</v>
      </c>
      <c r="C629" s="3033">
        <v>225.51</v>
      </c>
    </row>
    <row r="630" spans="1:3">
      <c r="A630" s="3033"/>
      <c r="B630" s="3033">
        <v>102</v>
      </c>
      <c r="C630" s="3033">
        <v>225.65</v>
      </c>
    </row>
    <row r="631" spans="1:3">
      <c r="A631" s="3033"/>
      <c r="B631" s="3033">
        <v>103</v>
      </c>
      <c r="C631" s="3033">
        <v>226.14000000000001</v>
      </c>
    </row>
    <row r="632" spans="1:3">
      <c r="A632" s="3033" t="s">
        <v>3134</v>
      </c>
      <c r="B632" s="3033">
        <v>-201</v>
      </c>
      <c r="C632" s="3033">
        <v>83.45</v>
      </c>
    </row>
    <row r="633" spans="1:3">
      <c r="A633" s="3033"/>
      <c r="B633" s="3033">
        <v>-202</v>
      </c>
      <c r="C633" s="3033">
        <v>84.17</v>
      </c>
    </row>
    <row r="634" spans="1:3">
      <c r="A634" s="3033"/>
      <c r="B634" s="3033">
        <v>-203</v>
      </c>
      <c r="C634" s="3033">
        <v>84.17</v>
      </c>
    </row>
    <row r="635" spans="1:3">
      <c r="A635" s="3033"/>
      <c r="B635" s="3033">
        <v>-204</v>
      </c>
      <c r="C635" s="3033">
        <v>83.45</v>
      </c>
    </row>
    <row r="636" spans="1:3">
      <c r="A636" s="3033"/>
      <c r="B636" s="3033">
        <v>-205</v>
      </c>
      <c r="C636" s="3033">
        <v>84.17</v>
      </c>
    </row>
    <row r="637" spans="1:3">
      <c r="A637" s="3033"/>
      <c r="B637" s="3033">
        <v>-206</v>
      </c>
      <c r="C637" s="3033">
        <v>84.17</v>
      </c>
    </row>
    <row r="638" spans="1:3">
      <c r="A638" s="3033"/>
      <c r="B638" s="3033">
        <v>101</v>
      </c>
      <c r="C638" s="3033">
        <v>218.64</v>
      </c>
    </row>
    <row r="639" spans="1:3">
      <c r="A639" s="3033"/>
      <c r="B639" s="3033">
        <v>102</v>
      </c>
      <c r="C639" s="3033">
        <v>218.76999999999998</v>
      </c>
    </row>
    <row r="640" spans="1:3">
      <c r="A640" s="3033"/>
      <c r="B640" s="3033">
        <v>103</v>
      </c>
      <c r="C640" s="3033">
        <v>219.24</v>
      </c>
    </row>
    <row r="641" spans="1:3">
      <c r="A641" s="3033"/>
      <c r="B641" s="3033">
        <v>104</v>
      </c>
      <c r="C641" s="3033">
        <v>218.64</v>
      </c>
    </row>
    <row r="642" spans="1:3">
      <c r="A642" s="3033"/>
      <c r="B642" s="3033">
        <v>105</v>
      </c>
      <c r="C642" s="3033">
        <v>218.76999999999998</v>
      </c>
    </row>
    <row r="643" spans="1:3">
      <c r="A643" s="3033"/>
      <c r="B643" s="3033">
        <v>106</v>
      </c>
      <c r="C643" s="3033">
        <v>219.24</v>
      </c>
    </row>
    <row r="644" spans="1:3">
      <c r="A644" s="3033" t="s">
        <v>3135</v>
      </c>
      <c r="B644" s="3033">
        <v>-201</v>
      </c>
      <c r="C644" s="3033">
        <v>83.38</v>
      </c>
    </row>
    <row r="645" spans="1:3">
      <c r="A645" s="3033"/>
      <c r="B645" s="3033">
        <v>-202</v>
      </c>
      <c r="C645" s="3033">
        <v>84.1</v>
      </c>
    </row>
    <row r="646" spans="1:3">
      <c r="A646" s="3033"/>
      <c r="B646" s="3033">
        <v>-203</v>
      </c>
      <c r="C646" s="3033">
        <v>84.1</v>
      </c>
    </row>
    <row r="647" spans="1:3">
      <c r="A647" s="3033"/>
      <c r="B647" s="3033">
        <v>-204</v>
      </c>
      <c r="C647" s="3033">
        <v>84.1</v>
      </c>
    </row>
    <row r="648" spans="1:3">
      <c r="A648" s="3033"/>
      <c r="B648" s="3033">
        <v>-205</v>
      </c>
      <c r="C648" s="3033">
        <v>83.38</v>
      </c>
    </row>
    <row r="649" spans="1:3">
      <c r="A649" s="3033"/>
      <c r="B649" s="3033">
        <v>-206</v>
      </c>
      <c r="C649" s="3033">
        <v>84.1</v>
      </c>
    </row>
    <row r="650" spans="1:3">
      <c r="A650" s="3033"/>
      <c r="B650" s="3033">
        <v>-207</v>
      </c>
      <c r="C650" s="3033">
        <v>84.1</v>
      </c>
    </row>
    <row r="651" spans="1:3">
      <c r="A651" s="3033"/>
      <c r="B651" s="3033">
        <v>-208</v>
      </c>
      <c r="C651" s="3033">
        <v>84.1</v>
      </c>
    </row>
    <row r="652" spans="1:3">
      <c r="A652" s="3033"/>
      <c r="B652" s="3033">
        <v>101</v>
      </c>
      <c r="C652" s="3033">
        <v>218.34000000000003</v>
      </c>
    </row>
    <row r="653" spans="1:3">
      <c r="A653" s="3033"/>
      <c r="B653" s="3033">
        <v>102</v>
      </c>
      <c r="C653" s="3033">
        <v>218.49</v>
      </c>
    </row>
    <row r="654" spans="1:3">
      <c r="A654" s="3033"/>
      <c r="B654" s="3033">
        <v>103</v>
      </c>
      <c r="C654" s="3033">
        <v>218.49</v>
      </c>
    </row>
    <row r="655" spans="1:3">
      <c r="A655" s="3033"/>
      <c r="B655" s="3033">
        <v>104</v>
      </c>
      <c r="C655" s="3033">
        <v>218.94</v>
      </c>
    </row>
    <row r="656" spans="1:3">
      <c r="A656" s="3033"/>
      <c r="B656" s="3033">
        <v>105</v>
      </c>
      <c r="C656" s="3033">
        <v>218.34000000000003</v>
      </c>
    </row>
    <row r="657" spans="1:3">
      <c r="A657" s="3033"/>
      <c r="B657" s="3033">
        <v>106</v>
      </c>
      <c r="C657" s="3033">
        <v>218.49</v>
      </c>
    </row>
    <row r="658" spans="1:3">
      <c r="A658" s="3033"/>
      <c r="B658" s="3033">
        <v>107</v>
      </c>
      <c r="C658" s="3033">
        <v>218.49</v>
      </c>
    </row>
    <row r="659" spans="1:3">
      <c r="A659" s="3033"/>
      <c r="B659" s="3033">
        <v>108</v>
      </c>
      <c r="C659" s="3033">
        <v>218.94</v>
      </c>
    </row>
    <row r="660" spans="1:3">
      <c r="A660" s="3033" t="s">
        <v>3136</v>
      </c>
      <c r="B660" s="3033">
        <v>-201</v>
      </c>
      <c r="C660" s="3033">
        <v>114.12</v>
      </c>
    </row>
    <row r="661" spans="1:3">
      <c r="A661" s="3033"/>
      <c r="B661" s="3033">
        <v>-202</v>
      </c>
      <c r="C661" s="3033">
        <v>114.12</v>
      </c>
    </row>
    <row r="662" spans="1:3">
      <c r="A662" s="3033"/>
      <c r="B662" s="3033">
        <v>-203</v>
      </c>
      <c r="C662" s="3033">
        <v>114.12</v>
      </c>
    </row>
    <row r="663" spans="1:3">
      <c r="A663" s="3033"/>
      <c r="B663" s="3033">
        <v>-204</v>
      </c>
      <c r="C663" s="3033">
        <v>114.92</v>
      </c>
    </row>
    <row r="664" spans="1:3">
      <c r="A664" s="3033"/>
      <c r="B664" s="3033">
        <v>101</v>
      </c>
      <c r="C664" s="3033">
        <v>292.84000000000003</v>
      </c>
    </row>
    <row r="665" spans="1:3">
      <c r="A665" s="3033"/>
      <c r="B665" s="3033">
        <v>102</v>
      </c>
      <c r="C665" s="3033">
        <v>292.84000000000003</v>
      </c>
    </row>
    <row r="666" spans="1:3">
      <c r="A666" s="3033"/>
      <c r="B666" s="3033">
        <v>103</v>
      </c>
      <c r="C666" s="3033">
        <v>292.84000000000003</v>
      </c>
    </row>
    <row r="667" spans="1:3">
      <c r="A667" s="3033"/>
      <c r="B667" s="3033">
        <v>104</v>
      </c>
      <c r="C667" s="3033">
        <v>293.32</v>
      </c>
    </row>
    <row r="668" spans="1:3">
      <c r="A668" s="3033" t="s">
        <v>3137</v>
      </c>
      <c r="B668" s="3033">
        <v>-201</v>
      </c>
      <c r="C668" s="3033">
        <v>114.12</v>
      </c>
    </row>
    <row r="669" spans="1:3">
      <c r="A669" s="3033"/>
      <c r="B669" s="3033">
        <v>-202</v>
      </c>
      <c r="C669" s="3033">
        <v>114.12</v>
      </c>
    </row>
    <row r="670" spans="1:3">
      <c r="A670" s="3033"/>
      <c r="B670" s="3033">
        <v>-203</v>
      </c>
      <c r="C670" s="3033">
        <v>114.12</v>
      </c>
    </row>
    <row r="671" spans="1:3">
      <c r="A671" s="3033"/>
      <c r="B671" s="3033">
        <v>-204</v>
      </c>
      <c r="C671" s="3033">
        <v>114.92</v>
      </c>
    </row>
    <row r="672" spans="1:3">
      <c r="A672" s="3033"/>
      <c r="B672" s="3033">
        <v>101</v>
      </c>
      <c r="C672" s="3033">
        <v>292.84000000000003</v>
      </c>
    </row>
    <row r="673" spans="1:3">
      <c r="A673" s="3033"/>
      <c r="B673" s="3033">
        <v>102</v>
      </c>
      <c r="C673" s="3033">
        <v>292.84000000000003</v>
      </c>
    </row>
    <row r="674" spans="1:3">
      <c r="A674" s="3033"/>
      <c r="B674" s="3033">
        <v>103</v>
      </c>
      <c r="C674" s="3033">
        <v>292.84000000000003</v>
      </c>
    </row>
    <row r="675" spans="1:3">
      <c r="A675" s="3033"/>
      <c r="B675" s="3033">
        <v>104</v>
      </c>
      <c r="C675" s="3033">
        <v>293.32</v>
      </c>
    </row>
    <row r="676" spans="1:3">
      <c r="A676" s="3033" t="s">
        <v>3138</v>
      </c>
      <c r="B676" s="3033">
        <v>-201</v>
      </c>
      <c r="C676" s="3033">
        <v>114.22</v>
      </c>
    </row>
    <row r="677" spans="1:3">
      <c r="A677" s="3033"/>
      <c r="B677" s="3033">
        <v>-202</v>
      </c>
      <c r="C677" s="3033">
        <v>114.22</v>
      </c>
    </row>
    <row r="678" spans="1:3">
      <c r="A678" s="3033"/>
      <c r="B678" s="3033">
        <v>-203</v>
      </c>
      <c r="C678" s="3033">
        <v>115.02</v>
      </c>
    </row>
    <row r="679" spans="1:3">
      <c r="A679" s="3033"/>
      <c r="B679" s="3033">
        <v>101</v>
      </c>
      <c r="C679" s="3033">
        <v>293.16999999999996</v>
      </c>
    </row>
    <row r="680" spans="1:3">
      <c r="A680" s="3033"/>
      <c r="B680" s="3033">
        <v>102</v>
      </c>
      <c r="C680" s="3033">
        <v>293.16999999999996</v>
      </c>
    </row>
    <row r="681" spans="1:3">
      <c r="A681" s="3033"/>
      <c r="B681" s="3033">
        <v>103</v>
      </c>
      <c r="C681" s="3033">
        <v>293.64999999999998</v>
      </c>
    </row>
    <row r="682" spans="1:3">
      <c r="A682" s="3033" t="s">
        <v>3139</v>
      </c>
      <c r="B682" s="3033">
        <v>-201</v>
      </c>
      <c r="C682" s="3033">
        <v>83.45</v>
      </c>
    </row>
    <row r="683" spans="1:3">
      <c r="A683" s="3033"/>
      <c r="B683" s="3033">
        <v>-202</v>
      </c>
      <c r="C683" s="3033">
        <v>84.17</v>
      </c>
    </row>
    <row r="684" spans="1:3">
      <c r="A684" s="3033"/>
      <c r="B684" s="3033">
        <v>-203</v>
      </c>
      <c r="C684" s="3033">
        <v>84.17</v>
      </c>
    </row>
    <row r="685" spans="1:3">
      <c r="A685" s="3033"/>
      <c r="B685" s="3033">
        <v>-204</v>
      </c>
      <c r="C685" s="3033">
        <v>83.45</v>
      </c>
    </row>
    <row r="686" spans="1:3">
      <c r="A686" s="3033"/>
      <c r="B686" s="3033">
        <v>-205</v>
      </c>
      <c r="C686" s="3033">
        <v>84.17</v>
      </c>
    </row>
    <row r="687" spans="1:3">
      <c r="A687" s="3033"/>
      <c r="B687" s="3033">
        <v>-206</v>
      </c>
      <c r="C687" s="3033">
        <v>84.17</v>
      </c>
    </row>
    <row r="688" spans="1:3">
      <c r="A688" s="3033"/>
      <c r="B688" s="3033">
        <v>101</v>
      </c>
      <c r="C688" s="3033">
        <v>218.64</v>
      </c>
    </row>
    <row r="689" spans="1:3">
      <c r="A689" s="3033"/>
      <c r="B689" s="3033">
        <v>102</v>
      </c>
      <c r="C689" s="3033">
        <v>218.76999999999998</v>
      </c>
    </row>
    <row r="690" spans="1:3">
      <c r="A690" s="3033"/>
      <c r="B690" s="3033">
        <v>103</v>
      </c>
      <c r="C690" s="3033">
        <v>219.24</v>
      </c>
    </row>
    <row r="691" spans="1:3">
      <c r="A691" s="3033"/>
      <c r="B691" s="3033">
        <v>104</v>
      </c>
      <c r="C691" s="3033">
        <v>218.64</v>
      </c>
    </row>
    <row r="692" spans="1:3">
      <c r="A692" s="3033"/>
      <c r="B692" s="3033">
        <v>105</v>
      </c>
      <c r="C692" s="3033">
        <v>218.76999999999998</v>
      </c>
    </row>
    <row r="693" spans="1:3">
      <c r="A693" s="3033"/>
      <c r="B693" s="3033">
        <v>106</v>
      </c>
      <c r="C693" s="3033">
        <v>219.24</v>
      </c>
    </row>
    <row r="694" spans="1:3">
      <c r="A694" s="3033" t="s">
        <v>3140</v>
      </c>
      <c r="B694" s="3033">
        <v>-201</v>
      </c>
      <c r="C694" s="3033">
        <v>83.57</v>
      </c>
    </row>
    <row r="695" spans="1:3">
      <c r="A695" s="3033"/>
      <c r="B695" s="3033">
        <v>-202</v>
      </c>
      <c r="C695" s="3033">
        <v>84.29</v>
      </c>
    </row>
    <row r="696" spans="1:3">
      <c r="A696" s="3033"/>
      <c r="B696" s="3033">
        <v>-203</v>
      </c>
      <c r="C696" s="3033">
        <v>83.57</v>
      </c>
    </row>
    <row r="697" spans="1:3">
      <c r="A697" s="3033"/>
      <c r="B697" s="3033">
        <v>-204</v>
      </c>
      <c r="C697" s="3033">
        <v>84.29</v>
      </c>
    </row>
    <row r="698" spans="1:3">
      <c r="A698" s="3033"/>
      <c r="B698" s="3033">
        <v>101</v>
      </c>
      <c r="C698" s="3033">
        <v>218.95</v>
      </c>
    </row>
    <row r="699" spans="1:3">
      <c r="A699" s="3033"/>
      <c r="B699" s="3033">
        <v>102</v>
      </c>
      <c r="C699" s="3033">
        <v>219.55</v>
      </c>
    </row>
    <row r="700" spans="1:3">
      <c r="A700" s="3033"/>
      <c r="B700" s="3033">
        <v>103</v>
      </c>
      <c r="C700" s="3033">
        <v>218.95</v>
      </c>
    </row>
    <row r="701" spans="1:3">
      <c r="A701" s="3033"/>
      <c r="B701" s="3033">
        <v>104</v>
      </c>
      <c r="C701" s="3033">
        <v>219.55</v>
      </c>
    </row>
    <row r="702" spans="1:3">
      <c r="A702" s="3033" t="s">
        <v>3141</v>
      </c>
      <c r="B702" s="3033">
        <v>-201</v>
      </c>
      <c r="C702" s="3033">
        <v>83.57</v>
      </c>
    </row>
    <row r="703" spans="1:3">
      <c r="A703" s="3033"/>
      <c r="B703" s="3033">
        <v>-202</v>
      </c>
      <c r="C703" s="3033">
        <v>84.29</v>
      </c>
    </row>
    <row r="704" spans="1:3">
      <c r="A704" s="3033"/>
      <c r="B704" s="3033">
        <v>-203</v>
      </c>
      <c r="C704" s="3033">
        <v>83.57</v>
      </c>
    </row>
    <row r="705" spans="1:3">
      <c r="A705" s="3033"/>
      <c r="B705" s="3033">
        <v>-204</v>
      </c>
      <c r="C705" s="3033">
        <v>84.29</v>
      </c>
    </row>
    <row r="706" spans="1:3">
      <c r="A706" s="3033"/>
      <c r="B706" s="3033">
        <v>101</v>
      </c>
      <c r="C706" s="3033">
        <v>218.95</v>
      </c>
    </row>
    <row r="707" spans="1:3">
      <c r="A707" s="3033"/>
      <c r="B707" s="3033">
        <v>102</v>
      </c>
      <c r="C707" s="3033">
        <v>219.55</v>
      </c>
    </row>
    <row r="708" spans="1:3">
      <c r="A708" s="3033"/>
      <c r="B708" s="3033">
        <v>103</v>
      </c>
      <c r="C708" s="3033">
        <v>218.95</v>
      </c>
    </row>
    <row r="709" spans="1:3">
      <c r="A709" s="3033"/>
      <c r="B709" s="3033">
        <v>104</v>
      </c>
      <c r="C709" s="3033">
        <v>219.55</v>
      </c>
    </row>
    <row r="710" spans="1:3">
      <c r="A710" s="3033" t="s">
        <v>3142</v>
      </c>
      <c r="B710" s="3033">
        <v>-201</v>
      </c>
      <c r="C710" s="3033">
        <v>83.43</v>
      </c>
    </row>
    <row r="711" spans="1:3">
      <c r="A711" s="3033"/>
      <c r="B711" s="3033">
        <v>-202</v>
      </c>
      <c r="C711" s="3033">
        <v>84.15</v>
      </c>
    </row>
    <row r="712" spans="1:3">
      <c r="A712" s="3033"/>
      <c r="B712" s="3033">
        <v>-203</v>
      </c>
      <c r="C712" s="3033">
        <v>84.15</v>
      </c>
    </row>
    <row r="713" spans="1:3">
      <c r="A713" s="3033"/>
      <c r="B713" s="3033">
        <v>-204</v>
      </c>
      <c r="C713" s="3033">
        <v>83.43</v>
      </c>
    </row>
    <row r="714" spans="1:3">
      <c r="A714" s="3033"/>
      <c r="B714" s="3033">
        <v>-205</v>
      </c>
      <c r="C714" s="3033">
        <v>84.15</v>
      </c>
    </row>
    <row r="715" spans="1:3">
      <c r="A715" s="3033"/>
      <c r="B715" s="3033">
        <v>-206</v>
      </c>
      <c r="C715" s="3033">
        <v>84.15</v>
      </c>
    </row>
    <row r="716" spans="1:3">
      <c r="A716" s="3033"/>
      <c r="B716" s="3033">
        <v>101</v>
      </c>
      <c r="C716" s="3033">
        <v>218.46</v>
      </c>
    </row>
    <row r="717" spans="1:3">
      <c r="A717" s="3033"/>
      <c r="B717" s="3033">
        <v>102</v>
      </c>
      <c r="C717" s="3033">
        <v>218.58999999999997</v>
      </c>
    </row>
    <row r="718" spans="1:3">
      <c r="A718" s="3033"/>
      <c r="B718" s="3033">
        <v>103</v>
      </c>
      <c r="C718" s="3033">
        <v>219.06</v>
      </c>
    </row>
    <row r="719" spans="1:3">
      <c r="A719" s="3033"/>
      <c r="B719" s="3033">
        <v>104</v>
      </c>
      <c r="C719" s="3033">
        <v>218.46</v>
      </c>
    </row>
    <row r="720" spans="1:3">
      <c r="A720" s="3033"/>
      <c r="B720" s="3033">
        <v>105</v>
      </c>
      <c r="C720" s="3033">
        <v>218.58999999999997</v>
      </c>
    </row>
    <row r="721" spans="1:3">
      <c r="A721" s="3033"/>
      <c r="B721" s="3033">
        <v>106</v>
      </c>
      <c r="C721" s="3033">
        <v>219.06</v>
      </c>
    </row>
    <row r="722" spans="1:3">
      <c r="A722" s="3033" t="s">
        <v>3143</v>
      </c>
      <c r="B722" s="3033">
        <v>-201</v>
      </c>
      <c r="C722" s="3033">
        <v>83.46</v>
      </c>
    </row>
    <row r="723" spans="1:3">
      <c r="A723" s="3033"/>
      <c r="B723" s="3033">
        <v>-202</v>
      </c>
      <c r="C723" s="3033">
        <v>84.18</v>
      </c>
    </row>
    <row r="724" spans="1:3">
      <c r="A724" s="3033"/>
      <c r="B724" s="3033">
        <v>-203</v>
      </c>
      <c r="C724" s="3033">
        <v>84.18</v>
      </c>
    </row>
    <row r="725" spans="1:3">
      <c r="A725" s="3033"/>
      <c r="B725" s="3033">
        <v>-204</v>
      </c>
      <c r="C725" s="3033">
        <v>83.46</v>
      </c>
    </row>
    <row r="726" spans="1:3">
      <c r="A726" s="3033"/>
      <c r="B726" s="3033">
        <v>-205</v>
      </c>
      <c r="C726" s="3033">
        <v>84.18</v>
      </c>
    </row>
    <row r="727" spans="1:3">
      <c r="A727" s="3033"/>
      <c r="B727" s="3033">
        <v>-206</v>
      </c>
      <c r="C727" s="3033">
        <v>84.18</v>
      </c>
    </row>
    <row r="728" spans="1:3">
      <c r="A728" s="3033"/>
      <c r="B728" s="3033">
        <v>101</v>
      </c>
      <c r="C728" s="3033">
        <v>218.73000000000002</v>
      </c>
    </row>
    <row r="729" spans="1:3">
      <c r="A729" s="3033"/>
      <c r="B729" s="3033">
        <v>102</v>
      </c>
      <c r="C729" s="3033">
        <v>218.87</v>
      </c>
    </row>
    <row r="730" spans="1:3">
      <c r="A730" s="3033"/>
      <c r="B730" s="3033">
        <v>103</v>
      </c>
      <c r="C730" s="3033">
        <v>219.33999999999997</v>
      </c>
    </row>
    <row r="731" spans="1:3">
      <c r="A731" s="3033"/>
      <c r="B731" s="3033">
        <v>104</v>
      </c>
      <c r="C731" s="3033">
        <v>218.73000000000002</v>
      </c>
    </row>
    <row r="732" spans="1:3">
      <c r="A732" s="3033"/>
      <c r="B732" s="3033">
        <v>105</v>
      </c>
      <c r="C732" s="3033">
        <v>218.87</v>
      </c>
    </row>
    <row r="733" spans="1:3">
      <c r="A733" s="3033"/>
      <c r="B733" s="3033">
        <v>106</v>
      </c>
      <c r="C733" s="3033">
        <v>219.33999999999997</v>
      </c>
    </row>
    <row r="734" spans="1:3">
      <c r="A734" s="3033" t="s">
        <v>3144</v>
      </c>
      <c r="B734" s="3033">
        <v>-201</v>
      </c>
      <c r="C734" s="3033">
        <v>83.6</v>
      </c>
    </row>
    <row r="735" spans="1:3">
      <c r="A735" s="3033"/>
      <c r="B735" s="3033">
        <v>-202</v>
      </c>
      <c r="C735" s="3033">
        <v>84.32</v>
      </c>
    </row>
    <row r="736" spans="1:3">
      <c r="A736" s="3033"/>
      <c r="B736" s="3033">
        <v>-203</v>
      </c>
      <c r="C736" s="3033">
        <v>83.6</v>
      </c>
    </row>
    <row r="737" spans="1:3">
      <c r="A737" s="3033"/>
      <c r="B737" s="3033">
        <v>-204</v>
      </c>
      <c r="C737" s="3033">
        <v>84.32</v>
      </c>
    </row>
    <row r="738" spans="1:3">
      <c r="A738" s="3033"/>
      <c r="B738" s="3033">
        <v>101</v>
      </c>
      <c r="C738" s="3033">
        <v>219.21999999999997</v>
      </c>
    </row>
    <row r="739" spans="1:3">
      <c r="A739" s="3033"/>
      <c r="B739" s="3033">
        <v>102</v>
      </c>
      <c r="C739" s="3033">
        <v>219.83</v>
      </c>
    </row>
    <row r="740" spans="1:3">
      <c r="A740" s="3033"/>
      <c r="B740" s="3033">
        <v>103</v>
      </c>
      <c r="C740" s="3033">
        <v>219.21999999999997</v>
      </c>
    </row>
    <row r="741" spans="1:3">
      <c r="A741" s="3033"/>
      <c r="B741" s="3033">
        <v>104</v>
      </c>
      <c r="C741" s="3033">
        <v>219.83</v>
      </c>
    </row>
    <row r="742" spans="1:3">
      <c r="A742" s="3033" t="s">
        <v>3145</v>
      </c>
      <c r="B742" s="3033">
        <v>-201</v>
      </c>
      <c r="C742" s="3033">
        <v>83.44</v>
      </c>
    </row>
    <row r="743" spans="1:3">
      <c r="A743" s="3033"/>
      <c r="B743" s="3033">
        <v>-202</v>
      </c>
      <c r="C743" s="3033">
        <v>84.16</v>
      </c>
    </row>
    <row r="744" spans="1:3">
      <c r="A744" s="3033"/>
      <c r="B744" s="3033">
        <v>-203</v>
      </c>
      <c r="C744" s="3033">
        <v>84.16</v>
      </c>
    </row>
    <row r="745" spans="1:3">
      <c r="A745" s="3033"/>
      <c r="B745" s="3033">
        <v>-204</v>
      </c>
      <c r="C745" s="3033">
        <v>83.44</v>
      </c>
    </row>
    <row r="746" spans="1:3">
      <c r="A746" s="3033"/>
      <c r="B746" s="3033">
        <v>-205</v>
      </c>
      <c r="C746" s="3033">
        <v>84.16</v>
      </c>
    </row>
    <row r="747" spans="1:3">
      <c r="A747" s="3033"/>
      <c r="B747" s="3033">
        <v>-206</v>
      </c>
      <c r="C747" s="3033">
        <v>84.16</v>
      </c>
    </row>
    <row r="748" spans="1:3">
      <c r="A748" s="3033"/>
      <c r="B748" s="3033">
        <v>101</v>
      </c>
      <c r="C748" s="3033">
        <v>218.51</v>
      </c>
    </row>
    <row r="749" spans="1:3">
      <c r="A749" s="3033"/>
      <c r="B749" s="3033">
        <v>102</v>
      </c>
      <c r="C749" s="3033">
        <v>218.64</v>
      </c>
    </row>
    <row r="750" spans="1:3">
      <c r="A750" s="3033"/>
      <c r="B750" s="3033">
        <v>103</v>
      </c>
      <c r="C750" s="3033">
        <v>219.10999999999999</v>
      </c>
    </row>
    <row r="751" spans="1:3">
      <c r="A751" s="3033"/>
      <c r="B751" s="3033">
        <v>104</v>
      </c>
      <c r="C751" s="3033">
        <v>218.51</v>
      </c>
    </row>
    <row r="752" spans="1:3">
      <c r="A752" s="3033"/>
      <c r="B752" s="3033">
        <v>105</v>
      </c>
      <c r="C752" s="3033">
        <v>218.64</v>
      </c>
    </row>
    <row r="753" spans="1:3">
      <c r="A753" s="3033"/>
      <c r="B753" s="3033">
        <v>106</v>
      </c>
      <c r="C753" s="3033">
        <v>219.10999999999999</v>
      </c>
    </row>
    <row r="754" spans="1:3">
      <c r="A754" s="3033" t="s">
        <v>3146</v>
      </c>
      <c r="B754" s="3033">
        <v>-201</v>
      </c>
      <c r="C754" s="3033">
        <v>83.61</v>
      </c>
    </row>
    <row r="755" spans="1:3">
      <c r="A755" s="3033"/>
      <c r="B755" s="3033">
        <v>-202</v>
      </c>
      <c r="C755" s="3033">
        <v>84.33</v>
      </c>
    </row>
    <row r="756" spans="1:3">
      <c r="A756" s="3033"/>
      <c r="B756" s="3033">
        <v>-203</v>
      </c>
      <c r="C756" s="3033">
        <v>83.61</v>
      </c>
    </row>
    <row r="757" spans="1:3">
      <c r="A757" s="3033"/>
      <c r="B757" s="3033">
        <v>-204</v>
      </c>
      <c r="C757" s="3033">
        <v>84.33</v>
      </c>
    </row>
    <row r="758" spans="1:3">
      <c r="A758" s="3033"/>
      <c r="B758" s="3033">
        <v>101</v>
      </c>
      <c r="C758" s="3033">
        <v>219.26</v>
      </c>
    </row>
    <row r="759" spans="1:3">
      <c r="A759" s="3033"/>
      <c r="B759" s="3033">
        <v>102</v>
      </c>
      <c r="C759" s="3033">
        <v>219.87</v>
      </c>
    </row>
    <row r="760" spans="1:3">
      <c r="A760" s="3033"/>
      <c r="B760" s="3033">
        <v>103</v>
      </c>
      <c r="C760" s="3033">
        <v>219.26</v>
      </c>
    </row>
    <row r="761" spans="1:3">
      <c r="A761" s="3033"/>
      <c r="B761" s="3033">
        <v>104</v>
      </c>
      <c r="C761" s="3033">
        <v>219.87</v>
      </c>
    </row>
    <row r="762" spans="1:3">
      <c r="A762" s="3033" t="s">
        <v>3147</v>
      </c>
      <c r="B762" s="3033">
        <v>-201</v>
      </c>
      <c r="C762" s="3033">
        <v>83.62</v>
      </c>
    </row>
    <row r="763" spans="1:3">
      <c r="A763" s="3033"/>
      <c r="B763" s="3033">
        <v>-202</v>
      </c>
      <c r="C763" s="3033">
        <v>84.34</v>
      </c>
    </row>
    <row r="764" spans="1:3">
      <c r="A764" s="3033"/>
      <c r="B764" s="3033">
        <v>-203</v>
      </c>
      <c r="C764" s="3033">
        <v>83.62</v>
      </c>
    </row>
    <row r="765" spans="1:3">
      <c r="A765" s="3033"/>
      <c r="B765" s="3033">
        <v>-204</v>
      </c>
      <c r="C765" s="3033">
        <v>84.34</v>
      </c>
    </row>
    <row r="766" spans="1:3">
      <c r="A766" s="3033"/>
      <c r="B766" s="3033">
        <v>101</v>
      </c>
      <c r="C766" s="3033">
        <v>219.37</v>
      </c>
    </row>
    <row r="767" spans="1:3">
      <c r="A767" s="3033"/>
      <c r="B767" s="3033">
        <v>102</v>
      </c>
      <c r="C767" s="3033">
        <v>219.98</v>
      </c>
    </row>
    <row r="768" spans="1:3">
      <c r="A768" s="3033"/>
      <c r="B768" s="3033">
        <v>103</v>
      </c>
      <c r="C768" s="3033">
        <v>219.37</v>
      </c>
    </row>
    <row r="769" spans="1:3">
      <c r="A769" s="3033"/>
      <c r="B769" s="3033">
        <v>104</v>
      </c>
      <c r="C769" s="3033">
        <v>219.98</v>
      </c>
    </row>
    <row r="770" spans="1:3">
      <c r="A770" s="3033" t="s">
        <v>3148</v>
      </c>
      <c r="B770" s="3033">
        <v>-201</v>
      </c>
      <c r="C770" s="3033">
        <v>83.45</v>
      </c>
    </row>
    <row r="771" spans="1:3">
      <c r="A771" s="3033"/>
      <c r="B771" s="3033">
        <v>-202</v>
      </c>
      <c r="C771" s="3033">
        <v>84.17</v>
      </c>
    </row>
    <row r="772" spans="1:3">
      <c r="A772" s="3033"/>
      <c r="B772" s="3033">
        <v>-203</v>
      </c>
      <c r="C772" s="3033">
        <v>84.17</v>
      </c>
    </row>
    <row r="773" spans="1:3">
      <c r="A773" s="3033"/>
      <c r="B773" s="3033">
        <v>-204</v>
      </c>
      <c r="C773" s="3033">
        <v>83.45</v>
      </c>
    </row>
    <row r="774" spans="1:3">
      <c r="A774" s="3033"/>
      <c r="B774" s="3033">
        <v>-205</v>
      </c>
      <c r="C774" s="3033">
        <v>84.17</v>
      </c>
    </row>
    <row r="775" spans="1:3">
      <c r="A775" s="3033"/>
      <c r="B775" s="3033">
        <v>-206</v>
      </c>
      <c r="C775" s="3033">
        <v>84.17</v>
      </c>
    </row>
    <row r="776" spans="1:3">
      <c r="A776" s="3033"/>
      <c r="B776" s="3033">
        <v>101</v>
      </c>
      <c r="C776" s="3033">
        <v>218.64</v>
      </c>
    </row>
    <row r="777" spans="1:3">
      <c r="A777" s="3033"/>
      <c r="B777" s="3033">
        <v>102</v>
      </c>
      <c r="C777" s="3033">
        <v>218.76999999999998</v>
      </c>
    </row>
    <row r="778" spans="1:3">
      <c r="A778" s="3033"/>
      <c r="B778" s="3033">
        <v>103</v>
      </c>
      <c r="C778" s="3033">
        <v>219.24</v>
      </c>
    </row>
    <row r="779" spans="1:3">
      <c r="A779" s="3033"/>
      <c r="B779" s="3033">
        <v>104</v>
      </c>
      <c r="C779" s="3033">
        <v>218.64</v>
      </c>
    </row>
    <row r="780" spans="1:3">
      <c r="A780" s="3033"/>
      <c r="B780" s="3033">
        <v>105</v>
      </c>
      <c r="C780" s="3033">
        <v>218.76999999999998</v>
      </c>
    </row>
    <row r="781" spans="1:3">
      <c r="A781" s="3033"/>
      <c r="B781" s="3033">
        <v>106</v>
      </c>
      <c r="C781" s="3033">
        <v>219.24</v>
      </c>
    </row>
    <row r="782" spans="1:3">
      <c r="A782" s="3033" t="s">
        <v>3149</v>
      </c>
      <c r="B782" s="3033">
        <v>-201</v>
      </c>
      <c r="C782" s="3033">
        <v>83.62</v>
      </c>
    </row>
    <row r="783" spans="1:3">
      <c r="A783" s="3033"/>
      <c r="B783" s="3033">
        <v>-202</v>
      </c>
      <c r="C783" s="3033">
        <v>84.34</v>
      </c>
    </row>
    <row r="784" spans="1:3">
      <c r="A784" s="3033"/>
      <c r="B784" s="3033">
        <v>-203</v>
      </c>
      <c r="C784" s="3033">
        <v>83.62</v>
      </c>
    </row>
    <row r="785" spans="1:3">
      <c r="A785" s="3033"/>
      <c r="B785" s="3033">
        <v>-204</v>
      </c>
      <c r="C785" s="3033">
        <v>84.34</v>
      </c>
    </row>
    <row r="786" spans="1:3">
      <c r="A786" s="3033"/>
      <c r="B786" s="3033">
        <v>101</v>
      </c>
      <c r="C786" s="3033">
        <v>219.37</v>
      </c>
    </row>
    <row r="787" spans="1:3">
      <c r="A787" s="3033"/>
      <c r="B787" s="3033">
        <v>102</v>
      </c>
      <c r="C787" s="3033">
        <v>219.98</v>
      </c>
    </row>
    <row r="788" spans="1:3">
      <c r="A788" s="3033"/>
      <c r="B788" s="3033">
        <v>103</v>
      </c>
      <c r="C788" s="3033">
        <v>219.37</v>
      </c>
    </row>
    <row r="789" spans="1:3">
      <c r="A789" s="3033"/>
      <c r="B789" s="3033">
        <v>104</v>
      </c>
      <c r="C789" s="3033">
        <v>219.98</v>
      </c>
    </row>
    <row r="790" spans="1:3">
      <c r="A790" s="3033" t="s">
        <v>3150</v>
      </c>
      <c r="B790" s="3033">
        <v>-201</v>
      </c>
      <c r="C790" s="3033">
        <v>83.45</v>
      </c>
    </row>
    <row r="791" spans="1:3">
      <c r="A791" s="3033"/>
      <c r="B791" s="3033">
        <v>-202</v>
      </c>
      <c r="C791" s="3033">
        <v>84.17</v>
      </c>
    </row>
    <row r="792" spans="1:3">
      <c r="A792" s="3033"/>
      <c r="B792" s="3033">
        <v>-203</v>
      </c>
      <c r="C792" s="3033">
        <v>84.17</v>
      </c>
    </row>
    <row r="793" spans="1:3">
      <c r="A793" s="3033"/>
      <c r="B793" s="3033">
        <v>-204</v>
      </c>
      <c r="C793" s="3033">
        <v>83.45</v>
      </c>
    </row>
    <row r="794" spans="1:3">
      <c r="A794" s="3033"/>
      <c r="B794" s="3033">
        <v>-205</v>
      </c>
      <c r="C794" s="3033">
        <v>84.17</v>
      </c>
    </row>
    <row r="795" spans="1:3">
      <c r="A795" s="3033"/>
      <c r="B795" s="3033">
        <v>-206</v>
      </c>
      <c r="C795" s="3033">
        <v>84.17</v>
      </c>
    </row>
    <row r="796" spans="1:3">
      <c r="A796" s="3033"/>
      <c r="B796" s="3033">
        <v>101</v>
      </c>
      <c r="C796" s="3033">
        <v>218.64</v>
      </c>
    </row>
    <row r="797" spans="1:3">
      <c r="A797" s="3033"/>
      <c r="B797" s="3033">
        <v>102</v>
      </c>
      <c r="C797" s="3033">
        <v>218.76999999999998</v>
      </c>
    </row>
    <row r="798" spans="1:3">
      <c r="A798" s="3033"/>
      <c r="B798" s="3033">
        <v>103</v>
      </c>
      <c r="C798" s="3033">
        <v>219.24</v>
      </c>
    </row>
    <row r="799" spans="1:3">
      <c r="A799" s="3033"/>
      <c r="B799" s="3033">
        <v>104</v>
      </c>
      <c r="C799" s="3033">
        <v>218.64</v>
      </c>
    </row>
    <row r="800" spans="1:3">
      <c r="A800" s="3033"/>
      <c r="B800" s="3033">
        <v>105</v>
      </c>
      <c r="C800" s="3033">
        <v>218.76999999999998</v>
      </c>
    </row>
    <row r="801" spans="1:3">
      <c r="A801" s="3033"/>
      <c r="B801" s="3033">
        <v>106</v>
      </c>
      <c r="C801" s="3033">
        <v>219.24</v>
      </c>
    </row>
    <row r="802" spans="1:3">
      <c r="A802" s="3033" t="s">
        <v>3151</v>
      </c>
      <c r="B802" s="3033">
        <v>-201</v>
      </c>
      <c r="C802" s="3033">
        <v>83.45</v>
      </c>
    </row>
    <row r="803" spans="1:3">
      <c r="A803" s="3033"/>
      <c r="B803" s="3033">
        <v>-202</v>
      </c>
      <c r="C803" s="3033">
        <v>84.17</v>
      </c>
    </row>
    <row r="804" spans="1:3">
      <c r="A804" s="3033"/>
      <c r="B804" s="3033">
        <v>-203</v>
      </c>
      <c r="C804" s="3033">
        <v>84.17</v>
      </c>
    </row>
    <row r="805" spans="1:3">
      <c r="A805" s="3033"/>
      <c r="B805" s="3033">
        <v>-204</v>
      </c>
      <c r="C805" s="3033">
        <v>83.45</v>
      </c>
    </row>
    <row r="806" spans="1:3">
      <c r="A806" s="3033"/>
      <c r="B806" s="3033">
        <v>-205</v>
      </c>
      <c r="C806" s="3033">
        <v>84.17</v>
      </c>
    </row>
    <row r="807" spans="1:3">
      <c r="A807" s="3033"/>
      <c r="B807" s="3033">
        <v>-206</v>
      </c>
      <c r="C807" s="3033">
        <v>84.17</v>
      </c>
    </row>
    <row r="808" spans="1:3">
      <c r="A808" s="3033"/>
      <c r="B808" s="3033">
        <v>101</v>
      </c>
      <c r="C808" s="3033">
        <v>218.64</v>
      </c>
    </row>
    <row r="809" spans="1:3">
      <c r="A809" s="3033"/>
      <c r="B809" s="3033">
        <v>102</v>
      </c>
      <c r="C809" s="3033">
        <v>218.76999999999998</v>
      </c>
    </row>
    <row r="810" spans="1:3">
      <c r="A810" s="3033"/>
      <c r="B810" s="3033">
        <v>103</v>
      </c>
      <c r="C810" s="3033">
        <v>219.24</v>
      </c>
    </row>
    <row r="811" spans="1:3">
      <c r="A811" s="3033"/>
      <c r="B811" s="3033">
        <v>104</v>
      </c>
      <c r="C811" s="3033">
        <v>218.64</v>
      </c>
    </row>
    <row r="812" spans="1:3">
      <c r="A812" s="3033"/>
      <c r="B812" s="3033">
        <v>105</v>
      </c>
      <c r="C812" s="3033">
        <v>218.76999999999998</v>
      </c>
    </row>
    <row r="813" spans="1:3">
      <c r="A813" s="3033"/>
      <c r="B813" s="3033">
        <v>106</v>
      </c>
      <c r="C813" s="3033">
        <v>219.24</v>
      </c>
    </row>
    <row r="814" spans="1:3">
      <c r="A814" s="3033" t="s">
        <v>3152</v>
      </c>
      <c r="B814" s="3033">
        <v>-201</v>
      </c>
      <c r="C814" s="3033">
        <v>83.6</v>
      </c>
    </row>
    <row r="815" spans="1:3">
      <c r="A815" s="3033"/>
      <c r="B815" s="3033">
        <v>-202</v>
      </c>
      <c r="C815" s="3033">
        <v>84.32</v>
      </c>
    </row>
    <row r="816" spans="1:3">
      <c r="A816" s="3033"/>
      <c r="B816" s="3033">
        <v>-203</v>
      </c>
      <c r="C816" s="3033">
        <v>83.6</v>
      </c>
    </row>
    <row r="817" spans="1:3">
      <c r="A817" s="3033"/>
      <c r="B817" s="3033">
        <v>-204</v>
      </c>
      <c r="C817" s="3033">
        <v>84.32</v>
      </c>
    </row>
    <row r="818" spans="1:3">
      <c r="A818" s="3033"/>
      <c r="B818" s="3033">
        <v>101</v>
      </c>
      <c r="C818" s="3033">
        <v>219.21999999999997</v>
      </c>
    </row>
    <row r="819" spans="1:3">
      <c r="A819" s="3033"/>
      <c r="B819" s="3033">
        <v>102</v>
      </c>
      <c r="C819" s="3033">
        <v>219.83</v>
      </c>
    </row>
    <row r="820" spans="1:3">
      <c r="A820" s="3033"/>
      <c r="B820" s="3033">
        <v>103</v>
      </c>
      <c r="C820" s="3033">
        <v>219.21999999999997</v>
      </c>
    </row>
    <row r="821" spans="1:3">
      <c r="A821" s="3033"/>
      <c r="B821" s="3033">
        <v>104</v>
      </c>
      <c r="C821" s="3033">
        <v>219.83</v>
      </c>
    </row>
    <row r="822" spans="1:3">
      <c r="A822" s="3033" t="s">
        <v>3153</v>
      </c>
      <c r="B822" s="3033">
        <v>-201</v>
      </c>
      <c r="C822" s="3033">
        <v>83.6</v>
      </c>
    </row>
    <row r="823" spans="1:3">
      <c r="A823" s="3033"/>
      <c r="B823" s="3033">
        <v>-202</v>
      </c>
      <c r="C823" s="3033">
        <v>84.32</v>
      </c>
    </row>
    <row r="824" spans="1:3">
      <c r="A824" s="3033"/>
      <c r="B824" s="3033">
        <v>-203</v>
      </c>
      <c r="C824" s="3033">
        <v>83.6</v>
      </c>
    </row>
    <row r="825" spans="1:3">
      <c r="A825" s="3033"/>
      <c r="B825" s="3033">
        <v>-204</v>
      </c>
      <c r="C825" s="3033">
        <v>84.32</v>
      </c>
    </row>
    <row r="826" spans="1:3">
      <c r="A826" s="3033"/>
      <c r="B826" s="3033">
        <v>101</v>
      </c>
      <c r="C826" s="3033">
        <v>219.18</v>
      </c>
    </row>
    <row r="827" spans="1:3">
      <c r="A827" s="3033"/>
      <c r="B827" s="3033">
        <v>102</v>
      </c>
      <c r="C827" s="3033">
        <v>219.79000000000002</v>
      </c>
    </row>
    <row r="828" spans="1:3">
      <c r="A828" s="3033"/>
      <c r="B828" s="3033">
        <v>103</v>
      </c>
      <c r="C828" s="3033">
        <v>219.18</v>
      </c>
    </row>
    <row r="829" spans="1:3">
      <c r="A829" s="3033"/>
      <c r="B829" s="3033">
        <v>104</v>
      </c>
      <c r="C829" s="3033">
        <v>219.79000000000002</v>
      </c>
    </row>
    <row r="830" spans="1:3">
      <c r="A830" s="3033" t="s">
        <v>3154</v>
      </c>
      <c r="B830" s="3033">
        <v>-201</v>
      </c>
      <c r="C830" s="3033">
        <v>83.44</v>
      </c>
    </row>
    <row r="831" spans="1:3">
      <c r="A831" s="3033"/>
      <c r="B831" s="3033">
        <v>-202</v>
      </c>
      <c r="C831" s="3033">
        <v>84.16</v>
      </c>
    </row>
    <row r="832" spans="1:3">
      <c r="A832" s="3033"/>
      <c r="B832" s="3033">
        <v>-203</v>
      </c>
      <c r="C832" s="3033">
        <v>84.16</v>
      </c>
    </row>
    <row r="833" spans="1:3">
      <c r="A833" s="3033"/>
      <c r="B833" s="3033">
        <v>-204</v>
      </c>
      <c r="C833" s="3033">
        <v>83.44</v>
      </c>
    </row>
    <row r="834" spans="1:3">
      <c r="A834" s="3033"/>
      <c r="B834" s="3033">
        <v>-205</v>
      </c>
      <c r="C834" s="3033">
        <v>84.16</v>
      </c>
    </row>
    <row r="835" spans="1:3">
      <c r="A835" s="3033"/>
      <c r="B835" s="3033">
        <v>-206</v>
      </c>
      <c r="C835" s="3033">
        <v>84.16</v>
      </c>
    </row>
    <row r="836" spans="1:3">
      <c r="A836" s="3033"/>
      <c r="B836" s="3033">
        <v>101</v>
      </c>
      <c r="C836" s="3033">
        <v>218.54999999999998</v>
      </c>
    </row>
    <row r="837" spans="1:3">
      <c r="A837" s="3033"/>
      <c r="B837" s="3033">
        <v>102</v>
      </c>
      <c r="C837" s="3033">
        <v>218.69</v>
      </c>
    </row>
    <row r="838" spans="1:3">
      <c r="A838" s="3033"/>
      <c r="B838" s="3033">
        <v>103</v>
      </c>
      <c r="C838" s="3033">
        <v>219.16000000000003</v>
      </c>
    </row>
    <row r="839" spans="1:3">
      <c r="A839" s="3033"/>
      <c r="B839" s="3033">
        <v>104</v>
      </c>
      <c r="C839" s="3033">
        <v>218.54999999999998</v>
      </c>
    </row>
    <row r="840" spans="1:3">
      <c r="A840" s="3033"/>
      <c r="B840" s="3033">
        <v>105</v>
      </c>
      <c r="C840" s="3033">
        <v>218.69</v>
      </c>
    </row>
    <row r="841" spans="1:3">
      <c r="A841" s="3033"/>
      <c r="B841" s="3033">
        <v>106</v>
      </c>
      <c r="C841" s="3033">
        <v>219.16000000000003</v>
      </c>
    </row>
    <row r="842" spans="1:3">
      <c r="A842" s="3162" t="s">
        <v>37</v>
      </c>
      <c r="B842" s="3162"/>
      <c r="C842" s="3033">
        <v>130771.10000000008</v>
      </c>
    </row>
  </sheetData>
  <mergeCells count="2">
    <mergeCell ref="A842:B842"/>
    <mergeCell ref="A2:A5"/>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topLeftCell="A58" workbookViewId="0">
      <selection activeCell="F91" sqref="F91"/>
    </sheetView>
  </sheetViews>
  <sheetFormatPr defaultRowHeight="13.5"/>
  <sheetData>
    <row r="1" spans="1:14" ht="14.25" thickBot="1">
      <c r="A1" s="3168" t="s">
        <v>3513</v>
      </c>
      <c r="B1" s="3168" t="s">
        <v>3514</v>
      </c>
      <c r="C1" s="3168" t="s">
        <v>3322</v>
      </c>
      <c r="D1" s="3168" t="s">
        <v>3515</v>
      </c>
      <c r="E1" s="3170" t="s">
        <v>3516</v>
      </c>
      <c r="F1" s="3171"/>
      <c r="G1" s="3172"/>
      <c r="H1" s="3170" t="s">
        <v>3517</v>
      </c>
      <c r="I1" s="3171"/>
      <c r="J1" s="3171"/>
      <c r="K1" s="3172"/>
      <c r="L1" s="3166" t="s">
        <v>3080</v>
      </c>
      <c r="M1" s="3166" t="s">
        <v>3081</v>
      </c>
      <c r="N1" s="3166" t="s">
        <v>3083</v>
      </c>
    </row>
    <row r="2" spans="1:14" ht="26.25" thickBot="1">
      <c r="A2" s="3169"/>
      <c r="B2" s="3169"/>
      <c r="C2" s="3169"/>
      <c r="D2" s="3169"/>
      <c r="E2" s="3039" t="s">
        <v>3076</v>
      </c>
      <c r="F2" s="3039" t="s">
        <v>1373</v>
      </c>
      <c r="G2" s="3050" t="s">
        <v>3518</v>
      </c>
      <c r="H2" s="3039" t="s">
        <v>3519</v>
      </c>
      <c r="I2" s="3050" t="s">
        <v>3520</v>
      </c>
      <c r="J2" s="3050" t="s">
        <v>3521</v>
      </c>
      <c r="K2" s="3050" t="s">
        <v>3522</v>
      </c>
      <c r="L2" s="3167"/>
      <c r="M2" s="3167"/>
      <c r="N2" s="3167"/>
    </row>
    <row r="3" spans="1:14" ht="14.25" thickBot="1">
      <c r="A3" s="3051" t="s">
        <v>3084</v>
      </c>
      <c r="B3" s="3052">
        <v>136.01</v>
      </c>
      <c r="C3" s="3039" t="s">
        <v>3523</v>
      </c>
      <c r="D3" s="3040">
        <v>817.74</v>
      </c>
      <c r="E3" s="3040">
        <v>282.56</v>
      </c>
      <c r="F3" s="3040">
        <v>0</v>
      </c>
      <c r="G3" s="3053">
        <v>0</v>
      </c>
      <c r="H3" s="3040">
        <v>535.17999999999995</v>
      </c>
      <c r="I3" s="3053">
        <v>0</v>
      </c>
      <c r="J3" s="3053">
        <v>0</v>
      </c>
      <c r="K3" s="3053">
        <v>0</v>
      </c>
      <c r="L3" s="3053">
        <v>2</v>
      </c>
      <c r="M3" s="3053">
        <v>3</v>
      </c>
      <c r="N3" s="3053">
        <v>2</v>
      </c>
    </row>
    <row r="4" spans="1:14" ht="14.25" thickBot="1">
      <c r="A4" s="3051" t="s">
        <v>3086</v>
      </c>
      <c r="B4" s="3052">
        <v>692.15</v>
      </c>
      <c r="C4" s="3039" t="s">
        <v>3524</v>
      </c>
      <c r="D4" s="3040">
        <v>817.45</v>
      </c>
      <c r="E4" s="3040">
        <v>282.56</v>
      </c>
      <c r="F4" s="3040">
        <v>0</v>
      </c>
      <c r="G4" s="3053">
        <v>0</v>
      </c>
      <c r="H4" s="3040">
        <v>534.89</v>
      </c>
      <c r="I4" s="3053">
        <v>0</v>
      </c>
      <c r="J4" s="3053">
        <v>0</v>
      </c>
      <c r="K4" s="3053">
        <v>0</v>
      </c>
      <c r="L4" s="3053">
        <v>2</v>
      </c>
      <c r="M4" s="3053">
        <v>3</v>
      </c>
      <c r="N4" s="3053">
        <v>2</v>
      </c>
    </row>
    <row r="5" spans="1:14" ht="14.25" thickBot="1">
      <c r="A5" s="3051" t="s">
        <v>3087</v>
      </c>
      <c r="B5" s="3052">
        <v>974.15</v>
      </c>
      <c r="C5" s="3039" t="s">
        <v>3524</v>
      </c>
      <c r="D5" s="3040">
        <v>1215.04</v>
      </c>
      <c r="E5" s="3040">
        <v>435.56</v>
      </c>
      <c r="F5" s="3040">
        <v>0</v>
      </c>
      <c r="G5" s="3053">
        <v>0</v>
      </c>
      <c r="H5" s="3040">
        <v>779.48</v>
      </c>
      <c r="I5" s="3053">
        <v>0</v>
      </c>
      <c r="J5" s="3053">
        <v>0</v>
      </c>
      <c r="K5" s="3053">
        <v>0</v>
      </c>
      <c r="L5" s="3053">
        <v>2</v>
      </c>
      <c r="M5" s="3053">
        <v>3</v>
      </c>
      <c r="N5" s="3053">
        <v>4</v>
      </c>
    </row>
    <row r="6" spans="1:14" ht="14.25" thickBot="1">
      <c r="A6" s="3051" t="s">
        <v>3088</v>
      </c>
      <c r="B6" s="3052">
        <v>0</v>
      </c>
      <c r="C6" s="3039" t="s">
        <v>3523</v>
      </c>
      <c r="D6" s="3040">
        <v>1815.68</v>
      </c>
      <c r="E6" s="3040">
        <v>652.01</v>
      </c>
      <c r="F6" s="3040">
        <v>0</v>
      </c>
      <c r="G6" s="3053">
        <v>0</v>
      </c>
      <c r="H6" s="3040">
        <v>1163.67</v>
      </c>
      <c r="I6" s="3053">
        <v>0</v>
      </c>
      <c r="J6" s="3053">
        <v>0</v>
      </c>
      <c r="K6" s="3053">
        <v>0</v>
      </c>
      <c r="L6" s="3053">
        <v>2</v>
      </c>
      <c r="M6" s="3053">
        <v>3</v>
      </c>
      <c r="N6" s="3053">
        <v>6</v>
      </c>
    </row>
    <row r="7" spans="1:14" ht="14.25" thickBot="1">
      <c r="A7" s="3051" t="s">
        <v>3089</v>
      </c>
      <c r="B7" s="3052">
        <v>0</v>
      </c>
      <c r="C7" s="3039" t="s">
        <v>3523</v>
      </c>
      <c r="D7" s="3040">
        <v>1816.24</v>
      </c>
      <c r="E7" s="3040">
        <v>652.01</v>
      </c>
      <c r="F7" s="3040">
        <v>0</v>
      </c>
      <c r="G7" s="3053">
        <v>0</v>
      </c>
      <c r="H7" s="3040">
        <v>1164.23</v>
      </c>
      <c r="I7" s="3053">
        <v>0</v>
      </c>
      <c r="J7" s="3053">
        <v>0</v>
      </c>
      <c r="K7" s="3053">
        <v>0</v>
      </c>
      <c r="L7" s="3053">
        <v>2</v>
      </c>
      <c r="M7" s="3053">
        <v>3</v>
      </c>
      <c r="N7" s="3053">
        <v>6</v>
      </c>
    </row>
    <row r="8" spans="1:14" ht="14.25" thickBot="1">
      <c r="A8" s="3051" t="s">
        <v>3060</v>
      </c>
      <c r="B8" s="3052">
        <v>974.15</v>
      </c>
      <c r="C8" s="3039" t="s">
        <v>3525</v>
      </c>
      <c r="D8" s="3040">
        <v>1215.04</v>
      </c>
      <c r="E8" s="3040">
        <v>435.56</v>
      </c>
      <c r="F8" s="3040">
        <v>0</v>
      </c>
      <c r="G8" s="3053">
        <v>0</v>
      </c>
      <c r="H8" s="3040">
        <v>779.48</v>
      </c>
      <c r="I8" s="3053">
        <v>0</v>
      </c>
      <c r="J8" s="3053">
        <v>0</v>
      </c>
      <c r="K8" s="3053">
        <v>0</v>
      </c>
      <c r="L8" s="3053">
        <v>2</v>
      </c>
      <c r="M8" s="3053">
        <v>3</v>
      </c>
      <c r="N8" s="3053">
        <v>4</v>
      </c>
    </row>
    <row r="9" spans="1:14" ht="14.25" thickBot="1">
      <c r="A9" s="3051" t="s">
        <v>3090</v>
      </c>
      <c r="B9" s="3052">
        <v>1799.26</v>
      </c>
      <c r="C9" s="3039" t="s">
        <v>3525</v>
      </c>
      <c r="D9" s="3040">
        <v>1817.98</v>
      </c>
      <c r="E9" s="3040">
        <v>652.01</v>
      </c>
      <c r="F9" s="3040">
        <v>0</v>
      </c>
      <c r="G9" s="3053">
        <v>0</v>
      </c>
      <c r="H9" s="3040">
        <v>1165.97</v>
      </c>
      <c r="I9" s="3053">
        <v>0</v>
      </c>
      <c r="J9" s="3053">
        <v>0</v>
      </c>
      <c r="K9" s="3053">
        <v>0</v>
      </c>
      <c r="L9" s="3053">
        <v>2</v>
      </c>
      <c r="M9" s="3053">
        <v>3</v>
      </c>
      <c r="N9" s="3053">
        <v>6</v>
      </c>
    </row>
    <row r="10" spans="1:14" ht="14.25" thickBot="1">
      <c r="A10" s="3051" t="s">
        <v>3091</v>
      </c>
      <c r="B10" s="3052">
        <v>167.44</v>
      </c>
      <c r="C10" s="3039" t="s">
        <v>3526</v>
      </c>
      <c r="D10" s="3040">
        <v>1213.94</v>
      </c>
      <c r="E10" s="3040">
        <v>435.56</v>
      </c>
      <c r="F10" s="3040">
        <v>0</v>
      </c>
      <c r="G10" s="3053">
        <v>0</v>
      </c>
      <c r="H10" s="3040">
        <v>778.38</v>
      </c>
      <c r="I10" s="3053">
        <v>0</v>
      </c>
      <c r="J10" s="3053">
        <v>0</v>
      </c>
      <c r="K10" s="3053">
        <v>0</v>
      </c>
      <c r="L10" s="3053">
        <v>2</v>
      </c>
      <c r="M10" s="3053">
        <v>3</v>
      </c>
      <c r="N10" s="3053">
        <v>4</v>
      </c>
    </row>
    <row r="11" spans="1:14" ht="14.25" thickBot="1">
      <c r="A11" s="3051" t="s">
        <v>3061</v>
      </c>
      <c r="B11" s="3052">
        <v>167.44</v>
      </c>
      <c r="C11" s="3039" t="s">
        <v>3526</v>
      </c>
      <c r="D11" s="3040">
        <v>1213.94</v>
      </c>
      <c r="E11" s="3040">
        <v>435.56</v>
      </c>
      <c r="F11" s="3040">
        <v>0</v>
      </c>
      <c r="G11" s="3053">
        <v>0</v>
      </c>
      <c r="H11" s="3040">
        <v>778.38</v>
      </c>
      <c r="I11" s="3053">
        <v>0</v>
      </c>
      <c r="J11" s="3053">
        <v>0</v>
      </c>
      <c r="K11" s="3053">
        <v>0</v>
      </c>
      <c r="L11" s="3053">
        <v>2</v>
      </c>
      <c r="M11" s="3053">
        <v>3</v>
      </c>
      <c r="N11" s="3053">
        <v>4</v>
      </c>
    </row>
    <row r="12" spans="1:14" ht="14.25" thickBot="1">
      <c r="A12" s="3051" t="s">
        <v>3092</v>
      </c>
      <c r="B12" s="3052">
        <v>1799.18</v>
      </c>
      <c r="C12" s="3039" t="s">
        <v>3525</v>
      </c>
      <c r="D12" s="3040">
        <v>1817.92</v>
      </c>
      <c r="E12" s="3040">
        <v>652.01</v>
      </c>
      <c r="F12" s="3040">
        <v>0</v>
      </c>
      <c r="G12" s="3053">
        <v>0</v>
      </c>
      <c r="H12" s="3040">
        <v>1165.9100000000001</v>
      </c>
      <c r="I12" s="3053">
        <v>0</v>
      </c>
      <c r="J12" s="3053">
        <v>0</v>
      </c>
      <c r="K12" s="3053">
        <v>0</v>
      </c>
      <c r="L12" s="3053">
        <v>2</v>
      </c>
      <c r="M12" s="3053">
        <v>3</v>
      </c>
      <c r="N12" s="3053">
        <v>6</v>
      </c>
    </row>
    <row r="13" spans="1:14" ht="14.25" thickBot="1">
      <c r="A13" s="3051" t="s">
        <v>3093</v>
      </c>
      <c r="B13" s="3052">
        <v>728.88</v>
      </c>
      <c r="C13" s="3039" t="s">
        <v>3527</v>
      </c>
      <c r="D13" s="3040">
        <v>1817.96</v>
      </c>
      <c r="E13" s="3040">
        <v>652.01</v>
      </c>
      <c r="F13" s="3040">
        <v>0</v>
      </c>
      <c r="G13" s="3053">
        <v>0</v>
      </c>
      <c r="H13" s="3040">
        <v>1165.95</v>
      </c>
      <c r="I13" s="3053">
        <v>0</v>
      </c>
      <c r="J13" s="3053">
        <v>0</v>
      </c>
      <c r="K13" s="3053">
        <v>0</v>
      </c>
      <c r="L13" s="3053">
        <v>2</v>
      </c>
      <c r="M13" s="3053">
        <v>3</v>
      </c>
      <c r="N13" s="3053">
        <v>6</v>
      </c>
    </row>
    <row r="14" spans="1:14" ht="14.25" thickBot="1">
      <c r="A14" s="3051" t="s">
        <v>3062</v>
      </c>
      <c r="B14" s="3052">
        <v>486.42</v>
      </c>
      <c r="C14" s="3039" t="s">
        <v>3526</v>
      </c>
      <c r="D14" s="3040">
        <v>1213.94</v>
      </c>
      <c r="E14" s="3040">
        <v>435.56</v>
      </c>
      <c r="F14" s="3040">
        <v>0</v>
      </c>
      <c r="G14" s="3053">
        <v>0</v>
      </c>
      <c r="H14" s="3040">
        <v>778.38</v>
      </c>
      <c r="I14" s="3053">
        <v>0</v>
      </c>
      <c r="J14" s="3053">
        <v>0</v>
      </c>
      <c r="K14" s="3053">
        <v>0</v>
      </c>
      <c r="L14" s="3053">
        <v>2</v>
      </c>
      <c r="M14" s="3053">
        <v>3</v>
      </c>
      <c r="N14" s="3053">
        <v>4</v>
      </c>
    </row>
    <row r="15" spans="1:14" ht="14.25" thickBot="1">
      <c r="A15" s="3051" t="s">
        <v>3094</v>
      </c>
      <c r="B15" s="3052">
        <v>250.57</v>
      </c>
      <c r="C15" s="3039" t="s">
        <v>3526</v>
      </c>
      <c r="D15" s="3040">
        <v>1816.88</v>
      </c>
      <c r="E15" s="3040">
        <v>652.01</v>
      </c>
      <c r="F15" s="3040">
        <v>0</v>
      </c>
      <c r="G15" s="3053">
        <v>0</v>
      </c>
      <c r="H15" s="3040">
        <v>1164.8699999999999</v>
      </c>
      <c r="I15" s="3053">
        <v>0</v>
      </c>
      <c r="J15" s="3053">
        <v>0</v>
      </c>
      <c r="K15" s="3053">
        <v>0</v>
      </c>
      <c r="L15" s="3053">
        <v>2</v>
      </c>
      <c r="M15" s="3053">
        <v>3</v>
      </c>
      <c r="N15" s="3053">
        <v>6</v>
      </c>
    </row>
    <row r="16" spans="1:14" ht="14.25" thickBot="1">
      <c r="A16" s="3051" t="s">
        <v>3095</v>
      </c>
      <c r="B16" s="3052">
        <v>766.99</v>
      </c>
      <c r="C16" s="3039" t="s">
        <v>3527</v>
      </c>
      <c r="D16" s="3040">
        <v>1215.04</v>
      </c>
      <c r="E16" s="3040">
        <v>435.56</v>
      </c>
      <c r="F16" s="3040">
        <v>0</v>
      </c>
      <c r="G16" s="3053">
        <v>0</v>
      </c>
      <c r="H16" s="3040">
        <v>779.48</v>
      </c>
      <c r="I16" s="3053">
        <v>0</v>
      </c>
      <c r="J16" s="3053">
        <v>0</v>
      </c>
      <c r="K16" s="3053">
        <v>0</v>
      </c>
      <c r="L16" s="3053">
        <v>2</v>
      </c>
      <c r="M16" s="3053">
        <v>3</v>
      </c>
      <c r="N16" s="3053">
        <v>4</v>
      </c>
    </row>
    <row r="17" spans="1:14" ht="14.25" thickBot="1">
      <c r="A17" s="3051" t="s">
        <v>3063</v>
      </c>
      <c r="B17" s="3052">
        <v>390.8</v>
      </c>
      <c r="C17" s="3039" t="s">
        <v>3527</v>
      </c>
      <c r="D17" s="3040">
        <v>622.58000000000004</v>
      </c>
      <c r="E17" s="3040">
        <v>225.49</v>
      </c>
      <c r="F17" s="3040">
        <v>0</v>
      </c>
      <c r="G17" s="3053">
        <v>0</v>
      </c>
      <c r="H17" s="3040">
        <v>397.09</v>
      </c>
      <c r="I17" s="3053">
        <v>0</v>
      </c>
      <c r="J17" s="3053">
        <v>0</v>
      </c>
      <c r="K17" s="3053">
        <v>0</v>
      </c>
      <c r="L17" s="3053">
        <v>2</v>
      </c>
      <c r="M17" s="3053">
        <v>3</v>
      </c>
      <c r="N17" s="3053">
        <v>2</v>
      </c>
    </row>
    <row r="18" spans="1:14" ht="14.25" thickBot="1">
      <c r="A18" s="3051" t="s">
        <v>3096</v>
      </c>
      <c r="B18" s="3052">
        <v>123.44</v>
      </c>
      <c r="C18" s="3039" t="s">
        <v>3523</v>
      </c>
      <c r="D18" s="3040">
        <v>935.79</v>
      </c>
      <c r="E18" s="3040">
        <v>337.54</v>
      </c>
      <c r="F18" s="3040">
        <v>0</v>
      </c>
      <c r="G18" s="3053">
        <v>0</v>
      </c>
      <c r="H18" s="3040">
        <v>598.25</v>
      </c>
      <c r="I18" s="3053">
        <v>0</v>
      </c>
      <c r="J18" s="3053">
        <v>0</v>
      </c>
      <c r="K18" s="3053">
        <v>0</v>
      </c>
      <c r="L18" s="3053">
        <v>2</v>
      </c>
      <c r="M18" s="3053">
        <v>3</v>
      </c>
      <c r="N18" s="3053">
        <v>3</v>
      </c>
    </row>
    <row r="19" spans="1:14" ht="14.25" thickBot="1">
      <c r="A19" s="3051" t="s">
        <v>3097</v>
      </c>
      <c r="B19" s="3052">
        <v>250.57</v>
      </c>
      <c r="C19" s="3039" t="s">
        <v>3523</v>
      </c>
      <c r="D19" s="3040">
        <v>1816.88</v>
      </c>
      <c r="E19" s="3040">
        <v>652.01</v>
      </c>
      <c r="F19" s="3040">
        <v>0</v>
      </c>
      <c r="G19" s="3053">
        <v>0</v>
      </c>
      <c r="H19" s="3040">
        <v>1164.8699999999999</v>
      </c>
      <c r="I19" s="3053">
        <v>0</v>
      </c>
      <c r="J19" s="3053">
        <v>0</v>
      </c>
      <c r="K19" s="3053">
        <v>0</v>
      </c>
      <c r="L19" s="3053">
        <v>2</v>
      </c>
      <c r="M19" s="3053">
        <v>3</v>
      </c>
      <c r="N19" s="3053">
        <v>6</v>
      </c>
    </row>
    <row r="20" spans="1:14" ht="14.25" thickBot="1">
      <c r="A20" s="3051" t="s">
        <v>3064</v>
      </c>
      <c r="B20" s="3052">
        <v>766.99</v>
      </c>
      <c r="C20" s="3039" t="s">
        <v>3527</v>
      </c>
      <c r="D20" s="3040">
        <v>1215.04</v>
      </c>
      <c r="E20" s="3040">
        <v>435.56</v>
      </c>
      <c r="F20" s="3040">
        <v>0</v>
      </c>
      <c r="G20" s="3053">
        <v>0</v>
      </c>
      <c r="H20" s="3040">
        <v>779.48</v>
      </c>
      <c r="I20" s="3053">
        <v>0</v>
      </c>
      <c r="J20" s="3053">
        <v>0</v>
      </c>
      <c r="K20" s="3053">
        <v>0</v>
      </c>
      <c r="L20" s="3053">
        <v>2</v>
      </c>
      <c r="M20" s="3053">
        <v>3</v>
      </c>
      <c r="N20" s="3053">
        <v>4</v>
      </c>
    </row>
    <row r="21" spans="1:14" ht="14.25" thickBot="1">
      <c r="A21" s="3051" t="s">
        <v>3098</v>
      </c>
      <c r="B21" s="3052">
        <v>1147.22</v>
      </c>
      <c r="C21" s="3039" t="s">
        <v>3527</v>
      </c>
      <c r="D21" s="3040">
        <v>1817.96</v>
      </c>
      <c r="E21" s="3040">
        <v>652.01</v>
      </c>
      <c r="F21" s="3040">
        <v>0</v>
      </c>
      <c r="G21" s="3053">
        <v>0</v>
      </c>
      <c r="H21" s="3040">
        <v>1165.95</v>
      </c>
      <c r="I21" s="3053">
        <v>0</v>
      </c>
      <c r="J21" s="3053">
        <v>0</v>
      </c>
      <c r="K21" s="3053">
        <v>0</v>
      </c>
      <c r="L21" s="3053">
        <v>2</v>
      </c>
      <c r="M21" s="3053">
        <v>3</v>
      </c>
      <c r="N21" s="3053">
        <v>6</v>
      </c>
    </row>
    <row r="22" spans="1:14" ht="14.25" thickBot="1">
      <c r="A22" s="3051" t="s">
        <v>3099</v>
      </c>
      <c r="B22" s="3052">
        <v>166.89</v>
      </c>
      <c r="C22" s="3039" t="s">
        <v>3523</v>
      </c>
      <c r="D22" s="3040">
        <v>1213.4000000000001</v>
      </c>
      <c r="E22" s="3040">
        <v>435.56</v>
      </c>
      <c r="F22" s="3040">
        <v>0</v>
      </c>
      <c r="G22" s="3053">
        <v>0</v>
      </c>
      <c r="H22" s="3040">
        <v>777.84</v>
      </c>
      <c r="I22" s="3053">
        <v>0</v>
      </c>
      <c r="J22" s="3053">
        <v>0</v>
      </c>
      <c r="K22" s="3053">
        <v>0</v>
      </c>
      <c r="L22" s="3053">
        <v>2</v>
      </c>
      <c r="M22" s="3053">
        <v>3</v>
      </c>
      <c r="N22" s="3053">
        <v>4</v>
      </c>
    </row>
    <row r="23" spans="1:14" ht="14.25" thickBot="1">
      <c r="A23" s="3051" t="s">
        <v>3065</v>
      </c>
      <c r="B23" s="3052">
        <v>167.44</v>
      </c>
      <c r="C23" s="3039" t="s">
        <v>3523</v>
      </c>
      <c r="D23" s="3040">
        <v>1213.94</v>
      </c>
      <c r="E23" s="3040">
        <v>435.56</v>
      </c>
      <c r="F23" s="3040">
        <v>0</v>
      </c>
      <c r="G23" s="3053">
        <v>0</v>
      </c>
      <c r="H23" s="3040">
        <v>778.38</v>
      </c>
      <c r="I23" s="3053">
        <v>0</v>
      </c>
      <c r="J23" s="3053">
        <v>0</v>
      </c>
      <c r="K23" s="3053">
        <v>0</v>
      </c>
      <c r="L23" s="3053">
        <v>2</v>
      </c>
      <c r="M23" s="3053">
        <v>3</v>
      </c>
      <c r="N23" s="3053">
        <v>4</v>
      </c>
    </row>
    <row r="24" spans="1:14" ht="14.25" thickBot="1">
      <c r="A24" s="3051" t="s">
        <v>3100</v>
      </c>
      <c r="B24" s="3052">
        <v>1147.25</v>
      </c>
      <c r="C24" s="3039" t="s">
        <v>3527</v>
      </c>
      <c r="D24" s="3040">
        <v>1817.98</v>
      </c>
      <c r="E24" s="3040">
        <v>652.01</v>
      </c>
      <c r="F24" s="3040">
        <v>0</v>
      </c>
      <c r="G24" s="3053">
        <v>0</v>
      </c>
      <c r="H24" s="3040">
        <v>1165.97</v>
      </c>
      <c r="I24" s="3053">
        <v>0</v>
      </c>
      <c r="J24" s="3053">
        <v>0</v>
      </c>
      <c r="K24" s="3053">
        <v>0</v>
      </c>
      <c r="L24" s="3053">
        <v>2</v>
      </c>
      <c r="M24" s="3053">
        <v>3</v>
      </c>
      <c r="N24" s="3053">
        <v>6</v>
      </c>
    </row>
    <row r="25" spans="1:14" ht="14.25" thickBot="1">
      <c r="A25" s="3051" t="s">
        <v>3101</v>
      </c>
      <c r="B25" s="3052">
        <v>1799.46</v>
      </c>
      <c r="C25" s="3039" t="s">
        <v>3525</v>
      </c>
      <c r="D25" s="3040">
        <v>1818.18</v>
      </c>
      <c r="E25" s="3040">
        <v>652.01</v>
      </c>
      <c r="F25" s="3040">
        <v>0</v>
      </c>
      <c r="G25" s="3053">
        <v>0</v>
      </c>
      <c r="H25" s="3040">
        <v>1166.17</v>
      </c>
      <c r="I25" s="3053">
        <v>0</v>
      </c>
      <c r="J25" s="3053">
        <v>0</v>
      </c>
      <c r="K25" s="3053">
        <v>0</v>
      </c>
      <c r="L25" s="3053">
        <v>2</v>
      </c>
      <c r="M25" s="3053">
        <v>3</v>
      </c>
      <c r="N25" s="3053">
        <v>6</v>
      </c>
    </row>
    <row r="26" spans="1:14" ht="14.25" thickBot="1">
      <c r="A26" s="3051" t="s">
        <v>3066</v>
      </c>
      <c r="B26" s="3052">
        <v>0</v>
      </c>
      <c r="C26" s="3039" t="s">
        <v>3528</v>
      </c>
      <c r="D26" s="3040">
        <v>1213.94</v>
      </c>
      <c r="E26" s="3040">
        <v>435.56</v>
      </c>
      <c r="F26" s="3040">
        <v>0</v>
      </c>
      <c r="G26" s="3053">
        <v>0</v>
      </c>
      <c r="H26" s="3040">
        <v>778.38</v>
      </c>
      <c r="I26" s="3053">
        <v>0</v>
      </c>
      <c r="J26" s="3053">
        <v>0</v>
      </c>
      <c r="K26" s="3053">
        <v>0</v>
      </c>
      <c r="L26" s="3053">
        <v>2</v>
      </c>
      <c r="M26" s="3053">
        <v>3</v>
      </c>
      <c r="N26" s="3053">
        <v>4</v>
      </c>
    </row>
    <row r="27" spans="1:14" ht="14.25" thickBot="1">
      <c r="A27" s="3051" t="s">
        <v>3102</v>
      </c>
      <c r="B27" s="3052">
        <v>809.23</v>
      </c>
      <c r="C27" s="3039" t="s">
        <v>3525</v>
      </c>
      <c r="D27" s="3040">
        <v>817.45</v>
      </c>
      <c r="E27" s="3040">
        <v>282.56</v>
      </c>
      <c r="F27" s="3040">
        <v>0</v>
      </c>
      <c r="G27" s="3053">
        <v>0</v>
      </c>
      <c r="H27" s="3040">
        <v>534.89</v>
      </c>
      <c r="I27" s="3053">
        <v>0</v>
      </c>
      <c r="J27" s="3053">
        <v>0</v>
      </c>
      <c r="K27" s="3053">
        <v>0</v>
      </c>
      <c r="L27" s="3053">
        <v>2</v>
      </c>
      <c r="M27" s="3053">
        <v>3</v>
      </c>
      <c r="N27" s="3053">
        <v>2</v>
      </c>
    </row>
    <row r="28" spans="1:14" ht="14.25" thickBot="1">
      <c r="A28" s="3051" t="s">
        <v>3067</v>
      </c>
      <c r="B28" s="3052">
        <v>0</v>
      </c>
      <c r="C28" s="3039" t="s">
        <v>3523</v>
      </c>
      <c r="D28" s="3040">
        <v>1629.12</v>
      </c>
      <c r="E28" s="3040">
        <v>563.59</v>
      </c>
      <c r="F28" s="3040">
        <v>0</v>
      </c>
      <c r="G28" s="3053">
        <v>0</v>
      </c>
      <c r="H28" s="3040">
        <v>1065.53</v>
      </c>
      <c r="I28" s="3053">
        <v>0</v>
      </c>
      <c r="J28" s="3053">
        <v>0</v>
      </c>
      <c r="K28" s="3053">
        <v>0</v>
      </c>
      <c r="L28" s="3053">
        <v>2</v>
      </c>
      <c r="M28" s="3053">
        <v>3</v>
      </c>
      <c r="N28" s="3053">
        <v>4</v>
      </c>
    </row>
    <row r="29" spans="1:14" ht="14.25" thickBot="1">
      <c r="A29" s="3051" t="s">
        <v>3103</v>
      </c>
      <c r="B29" s="3052">
        <v>0</v>
      </c>
      <c r="C29" s="3039" t="s">
        <v>3528</v>
      </c>
      <c r="D29" s="3040">
        <v>1815.68</v>
      </c>
      <c r="E29" s="3040">
        <v>652.01</v>
      </c>
      <c r="F29" s="3040">
        <v>0</v>
      </c>
      <c r="G29" s="3053">
        <v>0</v>
      </c>
      <c r="H29" s="3040">
        <v>1163.67</v>
      </c>
      <c r="I29" s="3053">
        <v>0</v>
      </c>
      <c r="J29" s="3053">
        <v>0</v>
      </c>
      <c r="K29" s="3053">
        <v>0</v>
      </c>
      <c r="L29" s="3053">
        <v>2</v>
      </c>
      <c r="M29" s="3053">
        <v>3</v>
      </c>
      <c r="N29" s="3053">
        <v>6</v>
      </c>
    </row>
    <row r="30" spans="1:14" ht="14.25" thickBot="1">
      <c r="A30" s="3051" t="s">
        <v>3068</v>
      </c>
      <c r="B30" s="3052">
        <v>0</v>
      </c>
      <c r="C30" s="3039" t="s">
        <v>3523</v>
      </c>
      <c r="D30" s="3040">
        <v>1816.88</v>
      </c>
      <c r="E30" s="3040">
        <v>652.01</v>
      </c>
      <c r="F30" s="3040">
        <v>0</v>
      </c>
      <c r="G30" s="3053">
        <v>0</v>
      </c>
      <c r="H30" s="3040">
        <v>1164.8699999999999</v>
      </c>
      <c r="I30" s="3053">
        <v>0</v>
      </c>
      <c r="J30" s="3053">
        <v>0</v>
      </c>
      <c r="K30" s="3053">
        <v>0</v>
      </c>
      <c r="L30" s="3053">
        <v>2</v>
      </c>
      <c r="M30" s="3053">
        <v>3</v>
      </c>
      <c r="N30" s="3053">
        <v>6</v>
      </c>
    </row>
    <row r="31" spans="1:14" ht="14.25" thickBot="1">
      <c r="A31" s="3051" t="s">
        <v>3104</v>
      </c>
      <c r="B31" s="3052">
        <v>0</v>
      </c>
      <c r="C31" s="3039" t="s">
        <v>3523</v>
      </c>
      <c r="D31" s="3040">
        <v>931.22</v>
      </c>
      <c r="E31" s="3040">
        <v>337.54</v>
      </c>
      <c r="F31" s="3040">
        <v>0</v>
      </c>
      <c r="G31" s="3053">
        <v>0</v>
      </c>
      <c r="H31" s="3040">
        <v>593.67999999999995</v>
      </c>
      <c r="I31" s="3053">
        <v>0</v>
      </c>
      <c r="J31" s="3053">
        <v>0</v>
      </c>
      <c r="K31" s="3053">
        <v>0</v>
      </c>
      <c r="L31" s="3053">
        <v>2</v>
      </c>
      <c r="M31" s="3053">
        <v>3</v>
      </c>
      <c r="N31" s="3053">
        <v>3</v>
      </c>
    </row>
    <row r="32" spans="1:14" ht="14.25" thickBot="1">
      <c r="A32" s="3051" t="s">
        <v>3069</v>
      </c>
      <c r="B32" s="3052">
        <v>0</v>
      </c>
      <c r="C32" s="3039" t="s">
        <v>3528</v>
      </c>
      <c r="D32" s="3040">
        <v>930.61</v>
      </c>
      <c r="E32" s="3040">
        <v>337.54</v>
      </c>
      <c r="F32" s="3040">
        <v>0</v>
      </c>
      <c r="G32" s="3053">
        <v>0</v>
      </c>
      <c r="H32" s="3040">
        <v>593.07000000000005</v>
      </c>
      <c r="I32" s="3053">
        <v>0</v>
      </c>
      <c r="J32" s="3053">
        <v>0</v>
      </c>
      <c r="K32" s="3053">
        <v>0</v>
      </c>
      <c r="L32" s="3053">
        <v>2</v>
      </c>
      <c r="M32" s="3053">
        <v>3</v>
      </c>
      <c r="N32" s="3053">
        <v>3</v>
      </c>
    </row>
    <row r="33" spans="1:14" ht="14.25" thickBot="1">
      <c r="A33" s="3051" t="s">
        <v>3105</v>
      </c>
      <c r="B33" s="3052">
        <v>0</v>
      </c>
      <c r="C33" s="3039" t="s">
        <v>3528</v>
      </c>
      <c r="D33" s="3040">
        <v>1816.88</v>
      </c>
      <c r="E33" s="3040">
        <v>652.01</v>
      </c>
      <c r="F33" s="3040">
        <v>0</v>
      </c>
      <c r="G33" s="3053">
        <v>0</v>
      </c>
      <c r="H33" s="3040">
        <v>1164.8699999999999</v>
      </c>
      <c r="I33" s="3053">
        <v>0</v>
      </c>
      <c r="J33" s="3053">
        <v>0</v>
      </c>
      <c r="K33" s="3053">
        <v>0</v>
      </c>
      <c r="L33" s="3053">
        <v>2</v>
      </c>
      <c r="M33" s="3053">
        <v>3</v>
      </c>
      <c r="N33" s="3053">
        <v>6</v>
      </c>
    </row>
    <row r="34" spans="1:14" ht="14.25" thickBot="1">
      <c r="A34" s="3051" t="s">
        <v>3106</v>
      </c>
      <c r="B34" s="3052">
        <v>0</v>
      </c>
      <c r="C34" s="3039" t="s">
        <v>3528</v>
      </c>
      <c r="D34" s="3040">
        <v>1816.32</v>
      </c>
      <c r="E34" s="3040">
        <v>652.01</v>
      </c>
      <c r="F34" s="3040">
        <v>0</v>
      </c>
      <c r="G34" s="3053">
        <v>0</v>
      </c>
      <c r="H34" s="3040">
        <v>1164.31</v>
      </c>
      <c r="I34" s="3053">
        <v>0</v>
      </c>
      <c r="J34" s="3053">
        <v>0</v>
      </c>
      <c r="K34" s="3053">
        <v>0</v>
      </c>
      <c r="L34" s="3053">
        <v>2</v>
      </c>
      <c r="M34" s="3053">
        <v>3</v>
      </c>
      <c r="N34" s="3053">
        <v>6</v>
      </c>
    </row>
    <row r="35" spans="1:14" ht="14.25" thickBot="1">
      <c r="A35" s="3051" t="s">
        <v>3070</v>
      </c>
      <c r="B35" s="3052">
        <v>0</v>
      </c>
      <c r="C35" s="3039" t="s">
        <v>3528</v>
      </c>
      <c r="D35" s="3040">
        <v>1816.04</v>
      </c>
      <c r="E35" s="3040">
        <v>652.01</v>
      </c>
      <c r="F35" s="3040">
        <v>0</v>
      </c>
      <c r="G35" s="3053">
        <v>0</v>
      </c>
      <c r="H35" s="3040">
        <v>1164.03</v>
      </c>
      <c r="I35" s="3053">
        <v>0</v>
      </c>
      <c r="J35" s="3053">
        <v>0</v>
      </c>
      <c r="K35" s="3053">
        <v>0</v>
      </c>
      <c r="L35" s="3053">
        <v>2</v>
      </c>
      <c r="M35" s="3053">
        <v>3</v>
      </c>
      <c r="N35" s="3053">
        <v>6</v>
      </c>
    </row>
    <row r="36" spans="1:14" ht="14.25" thickBot="1">
      <c r="A36" s="3051" t="s">
        <v>3107</v>
      </c>
      <c r="B36" s="3052">
        <v>0</v>
      </c>
      <c r="C36" s="3039" t="s">
        <v>3528</v>
      </c>
      <c r="D36" s="3040">
        <v>1525.08</v>
      </c>
      <c r="E36" s="3040">
        <v>547.61</v>
      </c>
      <c r="F36" s="3040">
        <v>0</v>
      </c>
      <c r="G36" s="3053">
        <v>0</v>
      </c>
      <c r="H36" s="3040">
        <v>977.47</v>
      </c>
      <c r="I36" s="3053">
        <v>0</v>
      </c>
      <c r="J36" s="3053">
        <v>0</v>
      </c>
      <c r="K36" s="3053">
        <v>0</v>
      </c>
      <c r="L36" s="3053">
        <v>2</v>
      </c>
      <c r="M36" s="3053">
        <v>3</v>
      </c>
      <c r="N36" s="3053">
        <v>5</v>
      </c>
    </row>
    <row r="37" spans="1:14" ht="14.25" thickBot="1">
      <c r="A37" s="3051" t="s">
        <v>3108</v>
      </c>
      <c r="B37" s="3052">
        <v>0</v>
      </c>
      <c r="C37" s="3039" t="s">
        <v>3528</v>
      </c>
      <c r="D37" s="3040">
        <v>1523.29</v>
      </c>
      <c r="E37" s="3040">
        <v>547.61</v>
      </c>
      <c r="F37" s="3040">
        <v>0</v>
      </c>
      <c r="G37" s="3053">
        <v>0</v>
      </c>
      <c r="H37" s="3040">
        <v>975.68</v>
      </c>
      <c r="I37" s="3053">
        <v>0</v>
      </c>
      <c r="J37" s="3053">
        <v>0</v>
      </c>
      <c r="K37" s="3053">
        <v>0</v>
      </c>
      <c r="L37" s="3053">
        <v>2</v>
      </c>
      <c r="M37" s="3053">
        <v>3</v>
      </c>
      <c r="N37" s="3053">
        <v>5</v>
      </c>
    </row>
    <row r="38" spans="1:14" ht="14.25" thickBot="1">
      <c r="A38" s="3051" t="s">
        <v>3071</v>
      </c>
      <c r="B38" s="3052">
        <v>249.36</v>
      </c>
      <c r="C38" s="3039" t="s">
        <v>3528</v>
      </c>
      <c r="D38" s="3040">
        <v>1815.68</v>
      </c>
      <c r="E38" s="3040">
        <v>652.01</v>
      </c>
      <c r="F38" s="3040">
        <v>0</v>
      </c>
      <c r="G38" s="3053">
        <v>0</v>
      </c>
      <c r="H38" s="3040">
        <v>1163.67</v>
      </c>
      <c r="I38" s="3053">
        <v>0</v>
      </c>
      <c r="J38" s="3053">
        <v>0</v>
      </c>
      <c r="K38" s="3053">
        <v>0</v>
      </c>
      <c r="L38" s="3053">
        <v>2</v>
      </c>
      <c r="M38" s="3053">
        <v>3</v>
      </c>
      <c r="N38" s="3053">
        <v>6</v>
      </c>
    </row>
    <row r="39" spans="1:14" ht="14.25" thickBot="1">
      <c r="A39" s="3051" t="s">
        <v>3109</v>
      </c>
      <c r="B39" s="3052">
        <v>249.36</v>
      </c>
      <c r="C39" s="3039" t="s">
        <v>3528</v>
      </c>
      <c r="D39" s="3040">
        <v>1815.68</v>
      </c>
      <c r="E39" s="3040">
        <v>652.01</v>
      </c>
      <c r="F39" s="3040">
        <v>0</v>
      </c>
      <c r="G39" s="3053">
        <v>0</v>
      </c>
      <c r="H39" s="3040">
        <v>1163.67</v>
      </c>
      <c r="I39" s="3053">
        <v>0</v>
      </c>
      <c r="J39" s="3053">
        <v>0</v>
      </c>
      <c r="K39" s="3053">
        <v>0</v>
      </c>
      <c r="L39" s="3053">
        <v>2</v>
      </c>
      <c r="M39" s="3053">
        <v>3</v>
      </c>
      <c r="N39" s="3053">
        <v>6</v>
      </c>
    </row>
    <row r="40" spans="1:14" ht="14.25" thickBot="1">
      <c r="A40" s="3051" t="s">
        <v>3110</v>
      </c>
      <c r="B40" s="3052">
        <v>0</v>
      </c>
      <c r="C40" s="3039" t="s">
        <v>3528</v>
      </c>
      <c r="D40" s="3040">
        <v>1817.52</v>
      </c>
      <c r="E40" s="3040">
        <v>652.01</v>
      </c>
      <c r="F40" s="3040">
        <v>0</v>
      </c>
      <c r="G40" s="3053">
        <v>0</v>
      </c>
      <c r="H40" s="3040">
        <v>1165.51</v>
      </c>
      <c r="I40" s="3053">
        <v>0</v>
      </c>
      <c r="J40" s="3053">
        <v>0</v>
      </c>
      <c r="K40" s="3053">
        <v>0</v>
      </c>
      <c r="L40" s="3053">
        <v>2</v>
      </c>
      <c r="M40" s="3053">
        <v>3</v>
      </c>
      <c r="N40" s="3053">
        <v>6</v>
      </c>
    </row>
    <row r="41" spans="1:14" ht="14.25" thickBot="1">
      <c r="A41" s="3051" t="s">
        <v>3072</v>
      </c>
      <c r="B41" s="3052">
        <v>0</v>
      </c>
      <c r="C41" s="3039" t="s">
        <v>3528</v>
      </c>
      <c r="D41" s="3040">
        <v>1524.39</v>
      </c>
      <c r="E41" s="3040">
        <v>547.61</v>
      </c>
      <c r="F41" s="3040">
        <v>0</v>
      </c>
      <c r="G41" s="3053">
        <v>0</v>
      </c>
      <c r="H41" s="3040">
        <v>976.78</v>
      </c>
      <c r="I41" s="3053">
        <v>0</v>
      </c>
      <c r="J41" s="3053">
        <v>0</v>
      </c>
      <c r="K41" s="3053">
        <v>0</v>
      </c>
      <c r="L41" s="3053">
        <v>2</v>
      </c>
      <c r="M41" s="3053">
        <v>3</v>
      </c>
      <c r="N41" s="3053">
        <v>5</v>
      </c>
    </row>
    <row r="42" spans="1:14" ht="14.25" thickBot="1">
      <c r="A42" s="3051" t="s">
        <v>3111</v>
      </c>
      <c r="B42" s="3052">
        <v>250.02</v>
      </c>
      <c r="C42" s="3039" t="s">
        <v>3523</v>
      </c>
      <c r="D42" s="3040">
        <v>1816.32</v>
      </c>
      <c r="E42" s="3040">
        <v>652.01</v>
      </c>
      <c r="F42" s="3040">
        <v>0</v>
      </c>
      <c r="G42" s="3053">
        <v>0</v>
      </c>
      <c r="H42" s="3040">
        <v>1164.31</v>
      </c>
      <c r="I42" s="3053">
        <v>0</v>
      </c>
      <c r="J42" s="3053">
        <v>0</v>
      </c>
      <c r="K42" s="3053">
        <v>0</v>
      </c>
      <c r="L42" s="3053">
        <v>2</v>
      </c>
      <c r="M42" s="3053">
        <v>3</v>
      </c>
      <c r="N42" s="3053">
        <v>6</v>
      </c>
    </row>
    <row r="43" spans="1:14" ht="14.25" thickBot="1">
      <c r="A43" s="3051" t="s">
        <v>3112</v>
      </c>
      <c r="B43" s="3052">
        <v>250.02</v>
      </c>
      <c r="C43" s="3039" t="s">
        <v>3523</v>
      </c>
      <c r="D43" s="3040">
        <v>1816.32</v>
      </c>
      <c r="E43" s="3040">
        <v>652.01</v>
      </c>
      <c r="F43" s="3040">
        <v>0</v>
      </c>
      <c r="G43" s="3053">
        <v>0</v>
      </c>
      <c r="H43" s="3040">
        <v>1164.31</v>
      </c>
      <c r="I43" s="3053">
        <v>0</v>
      </c>
      <c r="J43" s="3053">
        <v>0</v>
      </c>
      <c r="K43" s="3053">
        <v>0</v>
      </c>
      <c r="L43" s="3053">
        <v>2</v>
      </c>
      <c r="M43" s="3053">
        <v>3</v>
      </c>
      <c r="N43" s="3053">
        <v>6</v>
      </c>
    </row>
    <row r="44" spans="1:14" ht="14.25" thickBot="1">
      <c r="A44" s="3051" t="s">
        <v>3113</v>
      </c>
      <c r="B44" s="3052">
        <v>0</v>
      </c>
      <c r="C44" s="3039" t="s">
        <v>3523</v>
      </c>
      <c r="D44" s="3040">
        <v>1816.88</v>
      </c>
      <c r="E44" s="3040">
        <v>652.01</v>
      </c>
      <c r="F44" s="3040">
        <v>0</v>
      </c>
      <c r="G44" s="3053">
        <v>0</v>
      </c>
      <c r="H44" s="3040">
        <v>1164.8699999999999</v>
      </c>
      <c r="I44" s="3053">
        <v>0</v>
      </c>
      <c r="J44" s="3053">
        <v>0</v>
      </c>
      <c r="K44" s="3053">
        <v>0</v>
      </c>
      <c r="L44" s="3053">
        <v>2</v>
      </c>
      <c r="M44" s="3053">
        <v>3</v>
      </c>
      <c r="N44" s="3053">
        <v>6</v>
      </c>
    </row>
    <row r="45" spans="1:14" ht="14.25" thickBot="1">
      <c r="A45" s="3051" t="s">
        <v>3114</v>
      </c>
      <c r="B45" s="3052">
        <v>0</v>
      </c>
      <c r="C45" s="3039" t="s">
        <v>3528</v>
      </c>
      <c r="D45" s="3040">
        <v>1816.88</v>
      </c>
      <c r="E45" s="3040">
        <v>652.01</v>
      </c>
      <c r="F45" s="3040">
        <v>0</v>
      </c>
      <c r="G45" s="3053">
        <v>0</v>
      </c>
      <c r="H45" s="3040">
        <v>1164.8699999999999</v>
      </c>
      <c r="I45" s="3053">
        <v>0</v>
      </c>
      <c r="J45" s="3053">
        <v>0</v>
      </c>
      <c r="K45" s="3053">
        <v>0</v>
      </c>
      <c r="L45" s="3053">
        <v>2</v>
      </c>
      <c r="M45" s="3053">
        <v>3</v>
      </c>
      <c r="N45" s="3053">
        <v>6</v>
      </c>
    </row>
    <row r="46" spans="1:14" ht="14.25" thickBot="1">
      <c r="A46" s="3051" t="s">
        <v>3115</v>
      </c>
      <c r="B46" s="3052">
        <v>0</v>
      </c>
      <c r="C46" s="3039" t="s">
        <v>3528</v>
      </c>
      <c r="D46" s="3040">
        <v>1815.68</v>
      </c>
      <c r="E46" s="3040">
        <v>652.01</v>
      </c>
      <c r="F46" s="3040">
        <v>0</v>
      </c>
      <c r="G46" s="3053">
        <v>0</v>
      </c>
      <c r="H46" s="3040">
        <v>1163.67</v>
      </c>
      <c r="I46" s="3053">
        <v>0</v>
      </c>
      <c r="J46" s="3053">
        <v>0</v>
      </c>
      <c r="K46" s="3053">
        <v>0</v>
      </c>
      <c r="L46" s="3053">
        <v>2</v>
      </c>
      <c r="M46" s="3053">
        <v>3</v>
      </c>
      <c r="N46" s="3053">
        <v>6</v>
      </c>
    </row>
    <row r="47" spans="1:14" ht="14.25" thickBot="1">
      <c r="A47" s="3051" t="s">
        <v>3116</v>
      </c>
      <c r="B47" s="3052">
        <v>0</v>
      </c>
      <c r="C47" s="3039" t="s">
        <v>3528</v>
      </c>
      <c r="D47" s="3040">
        <v>1213.4000000000001</v>
      </c>
      <c r="E47" s="3040">
        <v>435.56</v>
      </c>
      <c r="F47" s="3040">
        <v>0</v>
      </c>
      <c r="G47" s="3053">
        <v>0</v>
      </c>
      <c r="H47" s="3040">
        <v>777.84</v>
      </c>
      <c r="I47" s="3053">
        <v>0</v>
      </c>
      <c r="J47" s="3053">
        <v>0</v>
      </c>
      <c r="K47" s="3053">
        <v>0</v>
      </c>
      <c r="L47" s="3053">
        <v>2</v>
      </c>
      <c r="M47" s="3053">
        <v>3</v>
      </c>
      <c r="N47" s="3053">
        <v>4</v>
      </c>
    </row>
    <row r="48" spans="1:14" ht="14.25" thickBot="1">
      <c r="A48" s="3051" t="s">
        <v>3117</v>
      </c>
      <c r="B48" s="3052">
        <v>0</v>
      </c>
      <c r="C48" s="3039" t="s">
        <v>3528</v>
      </c>
      <c r="D48" s="3040">
        <v>1240.74</v>
      </c>
      <c r="E48" s="3040">
        <v>449.59</v>
      </c>
      <c r="F48" s="3040">
        <v>0</v>
      </c>
      <c r="G48" s="3053">
        <v>0</v>
      </c>
      <c r="H48" s="3040">
        <v>791.15</v>
      </c>
      <c r="I48" s="3053">
        <v>0</v>
      </c>
      <c r="J48" s="3053">
        <v>0</v>
      </c>
      <c r="K48" s="3053">
        <v>0</v>
      </c>
      <c r="L48" s="3053">
        <v>2</v>
      </c>
      <c r="M48" s="3053">
        <v>3</v>
      </c>
      <c r="N48" s="3053">
        <v>4</v>
      </c>
    </row>
    <row r="49" spans="1:14" ht="14.25" thickBot="1">
      <c r="A49" s="3051" t="s">
        <v>3118</v>
      </c>
      <c r="B49" s="3052">
        <v>0</v>
      </c>
      <c r="C49" s="3039" t="s">
        <v>3528</v>
      </c>
      <c r="D49" s="3040">
        <v>1816.32</v>
      </c>
      <c r="E49" s="3040">
        <v>652.01</v>
      </c>
      <c r="F49" s="3040">
        <v>0</v>
      </c>
      <c r="G49" s="3053">
        <v>0</v>
      </c>
      <c r="H49" s="3040">
        <v>1164.31</v>
      </c>
      <c r="I49" s="3053">
        <v>0</v>
      </c>
      <c r="J49" s="3053">
        <v>0</v>
      </c>
      <c r="K49" s="3053">
        <v>0</v>
      </c>
      <c r="L49" s="3053">
        <v>2</v>
      </c>
      <c r="M49" s="3053">
        <v>3</v>
      </c>
      <c r="N49" s="3053">
        <v>6</v>
      </c>
    </row>
    <row r="50" spans="1:14" ht="14.25" thickBot="1">
      <c r="A50" s="3051" t="s">
        <v>3119</v>
      </c>
      <c r="B50" s="3052">
        <v>0</v>
      </c>
      <c r="C50" s="3039" t="s">
        <v>3528</v>
      </c>
      <c r="D50" s="3040">
        <v>1240.81</v>
      </c>
      <c r="E50" s="3040">
        <v>449.59</v>
      </c>
      <c r="F50" s="3040">
        <v>0</v>
      </c>
      <c r="G50" s="3053">
        <v>0</v>
      </c>
      <c r="H50" s="3040">
        <v>791.22</v>
      </c>
      <c r="I50" s="3053">
        <v>0</v>
      </c>
      <c r="J50" s="3053">
        <v>0</v>
      </c>
      <c r="K50" s="3053">
        <v>0</v>
      </c>
      <c r="L50" s="3053">
        <v>2</v>
      </c>
      <c r="M50" s="3053">
        <v>3</v>
      </c>
      <c r="N50" s="3053">
        <v>4</v>
      </c>
    </row>
    <row r="51" spans="1:14" ht="14.25" thickBot="1">
      <c r="A51" s="3051" t="s">
        <v>3120</v>
      </c>
      <c r="B51" s="3052">
        <v>1525.28</v>
      </c>
      <c r="C51" s="3039" t="s">
        <v>3526</v>
      </c>
      <c r="D51" s="3040">
        <v>2418.6799999999998</v>
      </c>
      <c r="E51" s="3040">
        <v>868.47</v>
      </c>
      <c r="F51" s="3040">
        <v>0</v>
      </c>
      <c r="G51" s="3053">
        <v>0</v>
      </c>
      <c r="H51" s="3040">
        <v>1550.21</v>
      </c>
      <c r="I51" s="3053">
        <v>0</v>
      </c>
      <c r="J51" s="3053">
        <v>0</v>
      </c>
      <c r="K51" s="3053">
        <v>0</v>
      </c>
      <c r="L51" s="3053">
        <v>2</v>
      </c>
      <c r="M51" s="3053">
        <v>3</v>
      </c>
      <c r="N51" s="3053">
        <v>8</v>
      </c>
    </row>
    <row r="52" spans="1:14" ht="14.25" thickBot="1">
      <c r="A52" s="3051" t="s">
        <v>3121</v>
      </c>
      <c r="B52" s="3052">
        <v>1796.96</v>
      </c>
      <c r="C52" s="3039" t="s">
        <v>3525</v>
      </c>
      <c r="D52" s="3040">
        <v>1815.68</v>
      </c>
      <c r="E52" s="3040">
        <v>652.01</v>
      </c>
      <c r="F52" s="3040">
        <v>0</v>
      </c>
      <c r="G52" s="3053">
        <v>0</v>
      </c>
      <c r="H52" s="3040">
        <v>1163.67</v>
      </c>
      <c r="I52" s="3053">
        <v>0</v>
      </c>
      <c r="J52" s="3053">
        <v>0</v>
      </c>
      <c r="K52" s="3053">
        <v>0</v>
      </c>
      <c r="L52" s="3053">
        <v>2</v>
      </c>
      <c r="M52" s="3053">
        <v>3</v>
      </c>
      <c r="N52" s="3053">
        <v>6</v>
      </c>
    </row>
    <row r="53" spans="1:14" ht="14.25" thickBot="1">
      <c r="A53" s="3051" t="s">
        <v>3122</v>
      </c>
      <c r="B53" s="3052">
        <v>1796.96</v>
      </c>
      <c r="C53" s="3039" t="s">
        <v>3525</v>
      </c>
      <c r="D53" s="3040">
        <v>1815.68</v>
      </c>
      <c r="E53" s="3040">
        <v>652.01</v>
      </c>
      <c r="F53" s="3040">
        <v>0</v>
      </c>
      <c r="G53" s="3053">
        <v>0</v>
      </c>
      <c r="H53" s="3040">
        <v>1163.67</v>
      </c>
      <c r="I53" s="3053">
        <v>0</v>
      </c>
      <c r="J53" s="3053">
        <v>0</v>
      </c>
      <c r="K53" s="3053">
        <v>0</v>
      </c>
      <c r="L53" s="3053">
        <v>2</v>
      </c>
      <c r="M53" s="3053">
        <v>3</v>
      </c>
      <c r="N53" s="3053">
        <v>6</v>
      </c>
    </row>
    <row r="54" spans="1:14" ht="14.25" thickBot="1">
      <c r="A54" s="3051" t="s">
        <v>3123</v>
      </c>
      <c r="B54" s="3052">
        <v>1525.79</v>
      </c>
      <c r="C54" s="3039" t="s">
        <v>3527</v>
      </c>
      <c r="D54" s="3040">
        <v>2419.2399999999998</v>
      </c>
      <c r="E54" s="3040">
        <v>868.47</v>
      </c>
      <c r="F54" s="3040">
        <v>0</v>
      </c>
      <c r="G54" s="3053">
        <v>0</v>
      </c>
      <c r="H54" s="3040">
        <v>1550.77</v>
      </c>
      <c r="I54" s="3053">
        <v>0</v>
      </c>
      <c r="J54" s="3053">
        <v>0</v>
      </c>
      <c r="K54" s="3053">
        <v>0</v>
      </c>
      <c r="L54" s="3053">
        <v>2</v>
      </c>
      <c r="M54" s="3053">
        <v>3</v>
      </c>
      <c r="N54" s="3053">
        <v>8</v>
      </c>
    </row>
    <row r="55" spans="1:14" ht="14.25" thickBot="1">
      <c r="A55" s="3051" t="s">
        <v>3124</v>
      </c>
      <c r="B55" s="3052">
        <v>1525.21</v>
      </c>
      <c r="C55" s="3039" t="s">
        <v>3526</v>
      </c>
      <c r="D55" s="3040">
        <v>2418.62</v>
      </c>
      <c r="E55" s="3040">
        <v>868.47</v>
      </c>
      <c r="F55" s="3040">
        <v>0</v>
      </c>
      <c r="G55" s="3053">
        <v>0</v>
      </c>
      <c r="H55" s="3040">
        <v>1550.15</v>
      </c>
      <c r="I55" s="3053">
        <v>0</v>
      </c>
      <c r="J55" s="3053">
        <v>0</v>
      </c>
      <c r="K55" s="3053">
        <v>0</v>
      </c>
      <c r="L55" s="3053">
        <v>2</v>
      </c>
      <c r="M55" s="3053">
        <v>3</v>
      </c>
      <c r="N55" s="3053">
        <v>8</v>
      </c>
    </row>
    <row r="56" spans="1:14" ht="14.25" thickBot="1">
      <c r="A56" s="3051" t="s">
        <v>3125</v>
      </c>
      <c r="B56" s="3052">
        <v>0</v>
      </c>
      <c r="C56" s="3039" t="s">
        <v>3528</v>
      </c>
      <c r="D56" s="3040">
        <v>1170.81</v>
      </c>
      <c r="E56" s="3040">
        <v>351.38</v>
      </c>
      <c r="F56" s="3040">
        <v>0</v>
      </c>
      <c r="G56" s="3053">
        <v>0</v>
      </c>
      <c r="H56" s="3040">
        <v>819.43</v>
      </c>
      <c r="I56" s="3053">
        <v>0</v>
      </c>
      <c r="J56" s="3053">
        <v>0</v>
      </c>
      <c r="K56" s="3053">
        <v>0</v>
      </c>
      <c r="L56" s="3053">
        <v>2</v>
      </c>
      <c r="M56" s="3053">
        <v>3</v>
      </c>
      <c r="N56" s="3053">
        <v>2</v>
      </c>
    </row>
    <row r="57" spans="1:14" ht="14.25" thickBot="1">
      <c r="A57" s="3051" t="s">
        <v>3126</v>
      </c>
      <c r="B57" s="3052">
        <v>0</v>
      </c>
      <c r="C57" s="3039" t="s">
        <v>3528</v>
      </c>
      <c r="D57" s="3040">
        <v>1170.81</v>
      </c>
      <c r="E57" s="3040">
        <v>351.38</v>
      </c>
      <c r="F57" s="3040">
        <v>0</v>
      </c>
      <c r="G57" s="3053">
        <v>0</v>
      </c>
      <c r="H57" s="3040">
        <v>819.43</v>
      </c>
      <c r="I57" s="3053">
        <v>0</v>
      </c>
      <c r="J57" s="3053">
        <v>0</v>
      </c>
      <c r="K57" s="3053">
        <v>0</v>
      </c>
      <c r="L57" s="3053">
        <v>2</v>
      </c>
      <c r="M57" s="3053">
        <v>3</v>
      </c>
      <c r="N57" s="3053">
        <v>2</v>
      </c>
    </row>
    <row r="58" spans="1:14" ht="14.25" thickBot="1">
      <c r="A58" s="3051" t="s">
        <v>3127</v>
      </c>
      <c r="B58" s="3052">
        <v>968.03</v>
      </c>
      <c r="C58" s="3039" t="s">
        <v>3526</v>
      </c>
      <c r="D58" s="3040">
        <v>2418.62</v>
      </c>
      <c r="E58" s="3040">
        <v>868.47</v>
      </c>
      <c r="F58" s="3040">
        <v>0</v>
      </c>
      <c r="G58" s="3053">
        <v>0</v>
      </c>
      <c r="H58" s="3040">
        <v>1550.15</v>
      </c>
      <c r="I58" s="3053">
        <v>0</v>
      </c>
      <c r="J58" s="3053">
        <v>0</v>
      </c>
      <c r="K58" s="3053">
        <v>0</v>
      </c>
      <c r="L58" s="3053">
        <v>2</v>
      </c>
      <c r="M58" s="3053">
        <v>3</v>
      </c>
      <c r="N58" s="3053">
        <v>8</v>
      </c>
    </row>
    <row r="59" spans="1:14" ht="14.25" thickBot="1">
      <c r="A59" s="3051" t="s">
        <v>3128</v>
      </c>
      <c r="B59" s="3052">
        <v>968.03</v>
      </c>
      <c r="C59" s="3039" t="s">
        <v>3526</v>
      </c>
      <c r="D59" s="3040">
        <v>2418.62</v>
      </c>
      <c r="E59" s="3040">
        <v>868.47</v>
      </c>
      <c r="F59" s="3040">
        <v>0</v>
      </c>
      <c r="G59" s="3053">
        <v>0</v>
      </c>
      <c r="H59" s="3040">
        <v>1550.15</v>
      </c>
      <c r="I59" s="3053">
        <v>0</v>
      </c>
      <c r="J59" s="3053">
        <v>0</v>
      </c>
      <c r="K59" s="3053">
        <v>0</v>
      </c>
      <c r="L59" s="3053">
        <v>2</v>
      </c>
      <c r="M59" s="3053">
        <v>3</v>
      </c>
      <c r="N59" s="3053">
        <v>8</v>
      </c>
    </row>
    <row r="60" spans="1:14" ht="14.25" thickBot="1">
      <c r="A60" s="3051" t="s">
        <v>3129</v>
      </c>
      <c r="B60" s="3052">
        <v>0</v>
      </c>
      <c r="C60" s="3039" t="s">
        <v>3528</v>
      </c>
      <c r="D60" s="3040">
        <v>1817.52</v>
      </c>
      <c r="E60" s="3040">
        <v>652.01</v>
      </c>
      <c r="F60" s="3040">
        <v>0</v>
      </c>
      <c r="G60" s="3053">
        <v>0</v>
      </c>
      <c r="H60" s="3040">
        <v>1165.51</v>
      </c>
      <c r="I60" s="3053">
        <v>0</v>
      </c>
      <c r="J60" s="3053">
        <v>0</v>
      </c>
      <c r="K60" s="3053">
        <v>0</v>
      </c>
      <c r="L60" s="3053">
        <v>2</v>
      </c>
      <c r="M60" s="3053">
        <v>3</v>
      </c>
      <c r="N60" s="3053">
        <v>6</v>
      </c>
    </row>
    <row r="61" spans="1:14" ht="14.25" thickBot="1">
      <c r="A61" s="3051" t="s">
        <v>3130</v>
      </c>
      <c r="B61" s="3052">
        <v>0</v>
      </c>
      <c r="C61" s="3039" t="s">
        <v>3528</v>
      </c>
      <c r="D61" s="3040">
        <v>1817.1</v>
      </c>
      <c r="E61" s="3040">
        <v>652.01</v>
      </c>
      <c r="F61" s="3040">
        <v>0</v>
      </c>
      <c r="G61" s="3053">
        <v>0</v>
      </c>
      <c r="H61" s="3040">
        <v>1165.0899999999999</v>
      </c>
      <c r="I61" s="3053">
        <v>0</v>
      </c>
      <c r="J61" s="3053">
        <v>0</v>
      </c>
      <c r="K61" s="3053">
        <v>0</v>
      </c>
      <c r="L61" s="3053">
        <v>2</v>
      </c>
      <c r="M61" s="3053">
        <v>3</v>
      </c>
      <c r="N61" s="3053">
        <v>6</v>
      </c>
    </row>
    <row r="62" spans="1:14" ht="14.25" thickBot="1">
      <c r="A62" s="3051" t="s">
        <v>3131</v>
      </c>
      <c r="B62" s="3052">
        <v>0</v>
      </c>
      <c r="C62" s="3039" t="s">
        <v>3528</v>
      </c>
      <c r="D62" s="3040">
        <v>2419.88</v>
      </c>
      <c r="E62" s="3040">
        <v>868.47</v>
      </c>
      <c r="F62" s="3040">
        <v>0</v>
      </c>
      <c r="G62" s="3053">
        <v>0</v>
      </c>
      <c r="H62" s="3040">
        <v>1551.41</v>
      </c>
      <c r="I62" s="3053">
        <v>0</v>
      </c>
      <c r="J62" s="3053">
        <v>0</v>
      </c>
      <c r="K62" s="3053">
        <v>0</v>
      </c>
      <c r="L62" s="3053">
        <v>2</v>
      </c>
      <c r="M62" s="3053">
        <v>3</v>
      </c>
      <c r="N62" s="3053">
        <v>8</v>
      </c>
    </row>
    <row r="63" spans="1:14" ht="14.25" thickBot="1">
      <c r="A63" s="3051" t="s">
        <v>3132</v>
      </c>
      <c r="B63" s="3052">
        <v>0</v>
      </c>
      <c r="C63" s="3039" t="s">
        <v>3528</v>
      </c>
      <c r="D63" s="3040">
        <v>1240.22</v>
      </c>
      <c r="E63" s="3040">
        <v>449.59</v>
      </c>
      <c r="F63" s="3040">
        <v>0</v>
      </c>
      <c r="G63" s="3053">
        <v>0</v>
      </c>
      <c r="H63" s="3040">
        <v>790.63</v>
      </c>
      <c r="I63" s="3053">
        <v>0</v>
      </c>
      <c r="J63" s="3053">
        <v>0</v>
      </c>
      <c r="K63" s="3053">
        <v>0</v>
      </c>
      <c r="L63" s="3053">
        <v>2</v>
      </c>
      <c r="M63" s="3053">
        <v>3</v>
      </c>
      <c r="N63" s="3053">
        <v>4</v>
      </c>
    </row>
    <row r="64" spans="1:14" ht="14.25" thickBot="1">
      <c r="A64" s="3051" t="s">
        <v>3133</v>
      </c>
      <c r="B64" s="3052">
        <v>0</v>
      </c>
      <c r="C64" s="3039" t="s">
        <v>3528</v>
      </c>
      <c r="D64" s="3040">
        <v>931.94</v>
      </c>
      <c r="E64" s="3040">
        <v>337.54</v>
      </c>
      <c r="F64" s="3040">
        <v>0</v>
      </c>
      <c r="G64" s="3053">
        <v>0</v>
      </c>
      <c r="H64" s="3040">
        <v>594.4</v>
      </c>
      <c r="I64" s="3053">
        <v>0</v>
      </c>
      <c r="J64" s="3053">
        <v>0</v>
      </c>
      <c r="K64" s="3053">
        <v>0</v>
      </c>
      <c r="L64" s="3053">
        <v>2</v>
      </c>
      <c r="M64" s="3053">
        <v>3</v>
      </c>
      <c r="N64" s="3053">
        <v>3</v>
      </c>
    </row>
    <row r="65" spans="1:14" ht="14.25" thickBot="1">
      <c r="A65" s="3051" t="s">
        <v>3134</v>
      </c>
      <c r="B65" s="3052">
        <v>0</v>
      </c>
      <c r="C65" s="3039" t="s">
        <v>3528</v>
      </c>
      <c r="D65" s="3040">
        <v>1816.88</v>
      </c>
      <c r="E65" s="3040">
        <v>652.01</v>
      </c>
      <c r="F65" s="3040">
        <v>0</v>
      </c>
      <c r="G65" s="3053">
        <v>0</v>
      </c>
      <c r="H65" s="3040">
        <v>1164.8699999999999</v>
      </c>
      <c r="I65" s="3053">
        <v>0</v>
      </c>
      <c r="J65" s="3053">
        <v>0</v>
      </c>
      <c r="K65" s="3053">
        <v>0</v>
      </c>
      <c r="L65" s="3053">
        <v>2</v>
      </c>
      <c r="M65" s="3053">
        <v>3</v>
      </c>
      <c r="N65" s="3053">
        <v>6</v>
      </c>
    </row>
    <row r="66" spans="1:14" ht="14.25" thickBot="1">
      <c r="A66" s="3051" t="s">
        <v>3135</v>
      </c>
      <c r="B66" s="3052">
        <v>0</v>
      </c>
      <c r="C66" s="3039" t="s">
        <v>3528</v>
      </c>
      <c r="D66" s="3040">
        <v>2419.88</v>
      </c>
      <c r="E66" s="3040">
        <v>868.47</v>
      </c>
      <c r="F66" s="3040">
        <v>0</v>
      </c>
      <c r="G66" s="3053">
        <v>0</v>
      </c>
      <c r="H66" s="3040">
        <v>1551.41</v>
      </c>
      <c r="I66" s="3053">
        <v>0</v>
      </c>
      <c r="J66" s="3053">
        <v>0</v>
      </c>
      <c r="K66" s="3053">
        <v>0</v>
      </c>
      <c r="L66" s="3053">
        <v>2</v>
      </c>
      <c r="M66" s="3053">
        <v>3</v>
      </c>
      <c r="N66" s="3053">
        <v>8</v>
      </c>
    </row>
    <row r="67" spans="1:14" ht="14.25" thickBot="1">
      <c r="A67" s="3051" t="s">
        <v>3136</v>
      </c>
      <c r="B67" s="3052">
        <v>0</v>
      </c>
      <c r="C67" s="3039" t="s">
        <v>3528</v>
      </c>
      <c r="D67" s="3040">
        <v>1629.12</v>
      </c>
      <c r="E67" s="3040">
        <v>563.59</v>
      </c>
      <c r="F67" s="3040">
        <v>0</v>
      </c>
      <c r="G67" s="3053">
        <v>0</v>
      </c>
      <c r="H67" s="3040">
        <v>1065.53</v>
      </c>
      <c r="I67" s="3053">
        <v>0</v>
      </c>
      <c r="J67" s="3053">
        <v>0</v>
      </c>
      <c r="K67" s="3053">
        <v>0</v>
      </c>
      <c r="L67" s="3053">
        <v>2</v>
      </c>
      <c r="M67" s="3053">
        <v>3</v>
      </c>
      <c r="N67" s="3053">
        <v>4</v>
      </c>
    </row>
    <row r="68" spans="1:14" ht="14.25" thickBot="1">
      <c r="A68" s="3051" t="s">
        <v>3137</v>
      </c>
      <c r="B68" s="3052">
        <v>698.11</v>
      </c>
      <c r="C68" s="3039" t="s">
        <v>3524</v>
      </c>
      <c r="D68" s="3040">
        <v>1629.12</v>
      </c>
      <c r="E68" s="3040">
        <v>563.59</v>
      </c>
      <c r="F68" s="3040">
        <v>0</v>
      </c>
      <c r="G68" s="3053">
        <v>0</v>
      </c>
      <c r="H68" s="3040">
        <v>1065.53</v>
      </c>
      <c r="I68" s="3053">
        <v>0</v>
      </c>
      <c r="J68" s="3053">
        <v>0</v>
      </c>
      <c r="K68" s="3053">
        <v>0</v>
      </c>
      <c r="L68" s="3053">
        <v>2</v>
      </c>
      <c r="M68" s="3053">
        <v>3</v>
      </c>
      <c r="N68" s="3053">
        <v>4</v>
      </c>
    </row>
    <row r="69" spans="1:14" ht="14.25" thickBot="1">
      <c r="A69" s="3051" t="s">
        <v>3138</v>
      </c>
      <c r="B69" s="3052">
        <v>203.68</v>
      </c>
      <c r="C69" s="3039" t="s">
        <v>3523</v>
      </c>
      <c r="D69" s="3040">
        <v>1223.45</v>
      </c>
      <c r="E69" s="3040">
        <v>423.08</v>
      </c>
      <c r="F69" s="3040">
        <v>0</v>
      </c>
      <c r="G69" s="3053">
        <v>0</v>
      </c>
      <c r="H69" s="3040">
        <v>800.37</v>
      </c>
      <c r="I69" s="3053">
        <v>0</v>
      </c>
      <c r="J69" s="3053">
        <v>0</v>
      </c>
      <c r="K69" s="3053">
        <v>0</v>
      </c>
      <c r="L69" s="3053">
        <v>2</v>
      </c>
      <c r="M69" s="3053">
        <v>3</v>
      </c>
      <c r="N69" s="3053">
        <v>3</v>
      </c>
    </row>
    <row r="70" spans="1:14" ht="14.25" thickBot="1">
      <c r="A70" s="3051" t="s">
        <v>3139</v>
      </c>
      <c r="B70" s="3052">
        <v>250.57</v>
      </c>
      <c r="C70" s="3039" t="s">
        <v>3523</v>
      </c>
      <c r="D70" s="3040">
        <v>1816.88</v>
      </c>
      <c r="E70" s="3040">
        <v>652.01</v>
      </c>
      <c r="F70" s="3040">
        <v>0</v>
      </c>
      <c r="G70" s="3053">
        <v>0</v>
      </c>
      <c r="H70" s="3040">
        <v>1164.8699999999999</v>
      </c>
      <c r="I70" s="3053">
        <v>0</v>
      </c>
      <c r="J70" s="3053">
        <v>0</v>
      </c>
      <c r="K70" s="3053">
        <v>0</v>
      </c>
      <c r="L70" s="3053">
        <v>2</v>
      </c>
      <c r="M70" s="3053">
        <v>3</v>
      </c>
      <c r="N70" s="3053">
        <v>6</v>
      </c>
    </row>
    <row r="71" spans="1:14" ht="14.25" thickBot="1">
      <c r="A71" s="3051" t="s">
        <v>3140</v>
      </c>
      <c r="B71" s="3052">
        <v>1200.25</v>
      </c>
      <c r="C71" s="3039" t="s">
        <v>3525</v>
      </c>
      <c r="D71" s="3040">
        <v>1212.72</v>
      </c>
      <c r="E71" s="3040">
        <v>435.56</v>
      </c>
      <c r="F71" s="3040">
        <v>0</v>
      </c>
      <c r="G71" s="3053">
        <v>0</v>
      </c>
      <c r="H71" s="3040">
        <v>777.16</v>
      </c>
      <c r="I71" s="3053">
        <v>0</v>
      </c>
      <c r="J71" s="3053">
        <v>0</v>
      </c>
      <c r="K71" s="3053">
        <v>0</v>
      </c>
      <c r="L71" s="3053">
        <v>2</v>
      </c>
      <c r="M71" s="3053">
        <v>3</v>
      </c>
      <c r="N71" s="3053">
        <v>4</v>
      </c>
    </row>
    <row r="72" spans="1:14" ht="14.25" thickBot="1">
      <c r="A72" s="3051" t="s">
        <v>3141</v>
      </c>
      <c r="B72" s="3052">
        <v>485.2</v>
      </c>
      <c r="C72" s="3039" t="s">
        <v>3527</v>
      </c>
      <c r="D72" s="3040">
        <v>1212.72</v>
      </c>
      <c r="E72" s="3040">
        <v>435.56</v>
      </c>
      <c r="F72" s="3040">
        <v>0</v>
      </c>
      <c r="G72" s="3053">
        <v>0</v>
      </c>
      <c r="H72" s="3040">
        <v>777.16</v>
      </c>
      <c r="I72" s="3053">
        <v>0</v>
      </c>
      <c r="J72" s="3053">
        <v>0</v>
      </c>
      <c r="K72" s="3053">
        <v>0</v>
      </c>
      <c r="L72" s="3053">
        <v>2</v>
      </c>
      <c r="M72" s="3053">
        <v>3</v>
      </c>
      <c r="N72" s="3053">
        <v>4</v>
      </c>
    </row>
    <row r="73" spans="1:14" ht="14.25" thickBot="1">
      <c r="A73" s="3051" t="s">
        <v>3142</v>
      </c>
      <c r="B73" s="3052">
        <v>0</v>
      </c>
      <c r="C73" s="3039" t="s">
        <v>3528</v>
      </c>
      <c r="D73" s="3040">
        <v>1815.68</v>
      </c>
      <c r="E73" s="3040">
        <v>652.01</v>
      </c>
      <c r="F73" s="3040">
        <v>0</v>
      </c>
      <c r="G73" s="3053">
        <v>0</v>
      </c>
      <c r="H73" s="3040">
        <v>1163.67</v>
      </c>
      <c r="I73" s="3053">
        <v>0</v>
      </c>
      <c r="J73" s="3053">
        <v>0</v>
      </c>
      <c r="K73" s="3053">
        <v>0</v>
      </c>
      <c r="L73" s="3053">
        <v>2</v>
      </c>
      <c r="M73" s="3053">
        <v>3</v>
      </c>
      <c r="N73" s="3053">
        <v>6</v>
      </c>
    </row>
    <row r="74" spans="1:14" ht="14.25" thickBot="1">
      <c r="A74" s="3051" t="s">
        <v>3143</v>
      </c>
      <c r="B74" s="3052">
        <v>0</v>
      </c>
      <c r="C74" s="3039" t="s">
        <v>3528</v>
      </c>
      <c r="D74" s="3040">
        <v>1817.52</v>
      </c>
      <c r="E74" s="3040">
        <v>652.01</v>
      </c>
      <c r="F74" s="3040">
        <v>0</v>
      </c>
      <c r="G74" s="3053">
        <v>0</v>
      </c>
      <c r="H74" s="3040">
        <v>1165.51</v>
      </c>
      <c r="I74" s="3053">
        <v>0</v>
      </c>
      <c r="J74" s="3053">
        <v>0</v>
      </c>
      <c r="K74" s="3053">
        <v>0</v>
      </c>
      <c r="L74" s="3053">
        <v>2</v>
      </c>
      <c r="M74" s="3053">
        <v>3</v>
      </c>
      <c r="N74" s="3053">
        <v>6</v>
      </c>
    </row>
    <row r="75" spans="1:14" ht="14.25" thickBot="1">
      <c r="A75" s="3051" t="s">
        <v>3144</v>
      </c>
      <c r="B75" s="3052">
        <v>486.42</v>
      </c>
      <c r="C75" s="3039" t="s">
        <v>3527</v>
      </c>
      <c r="D75" s="3040">
        <v>1213.94</v>
      </c>
      <c r="E75" s="3040">
        <v>435.56</v>
      </c>
      <c r="F75" s="3040">
        <v>0</v>
      </c>
      <c r="G75" s="3053">
        <v>0</v>
      </c>
      <c r="H75" s="3040">
        <v>778.38</v>
      </c>
      <c r="I75" s="3053">
        <v>0</v>
      </c>
      <c r="J75" s="3053">
        <v>0</v>
      </c>
      <c r="K75" s="3053">
        <v>0</v>
      </c>
      <c r="L75" s="3053">
        <v>2</v>
      </c>
      <c r="M75" s="3053">
        <v>3</v>
      </c>
      <c r="N75" s="3053">
        <v>4</v>
      </c>
    </row>
    <row r="76" spans="1:14" ht="14.25" thickBot="1">
      <c r="A76" s="3051" t="s">
        <v>3145</v>
      </c>
      <c r="B76" s="3052">
        <v>249.69</v>
      </c>
      <c r="C76" s="3039" t="s">
        <v>3528</v>
      </c>
      <c r="D76" s="3040">
        <v>1816.04</v>
      </c>
      <c r="E76" s="3040">
        <v>652.01</v>
      </c>
      <c r="F76" s="3040">
        <v>0</v>
      </c>
      <c r="G76" s="3053">
        <v>0</v>
      </c>
      <c r="H76" s="3040">
        <v>1164.03</v>
      </c>
      <c r="I76" s="3053">
        <v>0</v>
      </c>
      <c r="J76" s="3053">
        <v>0</v>
      </c>
      <c r="K76" s="3053">
        <v>0</v>
      </c>
      <c r="L76" s="3053">
        <v>2</v>
      </c>
      <c r="M76" s="3053">
        <v>3</v>
      </c>
      <c r="N76" s="3053">
        <v>6</v>
      </c>
    </row>
    <row r="77" spans="1:14" ht="14.25" thickBot="1">
      <c r="A77" s="3051" t="s">
        <v>3146</v>
      </c>
      <c r="B77" s="3052">
        <v>0</v>
      </c>
      <c r="C77" s="3039" t="s">
        <v>3528</v>
      </c>
      <c r="D77" s="3040">
        <v>1214.1400000000001</v>
      </c>
      <c r="E77" s="3040">
        <v>435.56</v>
      </c>
      <c r="F77" s="3040">
        <v>0</v>
      </c>
      <c r="G77" s="3053">
        <v>0</v>
      </c>
      <c r="H77" s="3040">
        <v>778.58</v>
      </c>
      <c r="I77" s="3053">
        <v>0</v>
      </c>
      <c r="J77" s="3053">
        <v>0</v>
      </c>
      <c r="K77" s="3053">
        <v>0</v>
      </c>
      <c r="L77" s="3053">
        <v>2</v>
      </c>
      <c r="M77" s="3053">
        <v>3</v>
      </c>
      <c r="N77" s="3053">
        <v>4</v>
      </c>
    </row>
    <row r="78" spans="1:14" ht="14.25" thickBot="1">
      <c r="A78" s="3051" t="s">
        <v>3147</v>
      </c>
      <c r="B78" s="3052">
        <v>0</v>
      </c>
      <c r="C78" s="3039" t="s">
        <v>3528</v>
      </c>
      <c r="D78" s="3040">
        <v>1214.6199999999999</v>
      </c>
      <c r="E78" s="3040">
        <v>435.56</v>
      </c>
      <c r="F78" s="3040">
        <v>0</v>
      </c>
      <c r="G78" s="3053">
        <v>0</v>
      </c>
      <c r="H78" s="3040">
        <v>779.06</v>
      </c>
      <c r="I78" s="3053">
        <v>0</v>
      </c>
      <c r="J78" s="3053">
        <v>0</v>
      </c>
      <c r="K78" s="3053">
        <v>0</v>
      </c>
      <c r="L78" s="3053">
        <v>2</v>
      </c>
      <c r="M78" s="3053">
        <v>3</v>
      </c>
      <c r="N78" s="3053">
        <v>4</v>
      </c>
    </row>
    <row r="79" spans="1:14" ht="14.25" thickBot="1">
      <c r="A79" s="3051" t="s">
        <v>3148</v>
      </c>
      <c r="B79" s="3052">
        <v>250.57</v>
      </c>
      <c r="C79" s="3039" t="s">
        <v>3528</v>
      </c>
      <c r="D79" s="3040">
        <v>1816.88</v>
      </c>
      <c r="E79" s="3040">
        <v>652.01</v>
      </c>
      <c r="F79" s="3040">
        <v>0</v>
      </c>
      <c r="G79" s="3053">
        <v>0</v>
      </c>
      <c r="H79" s="3040">
        <v>1164.8699999999999</v>
      </c>
      <c r="I79" s="3053">
        <v>0</v>
      </c>
      <c r="J79" s="3053">
        <v>0</v>
      </c>
      <c r="K79" s="3053">
        <v>0</v>
      </c>
      <c r="L79" s="3053">
        <v>2</v>
      </c>
      <c r="M79" s="3053">
        <v>3</v>
      </c>
      <c r="N79" s="3053">
        <v>6</v>
      </c>
    </row>
    <row r="80" spans="1:14" ht="14.25" thickBot="1">
      <c r="A80" s="3051" t="s">
        <v>3149</v>
      </c>
      <c r="B80" s="3052">
        <v>168.1</v>
      </c>
      <c r="C80" s="3039" t="s">
        <v>3523</v>
      </c>
      <c r="D80" s="3040">
        <v>1214.6199999999999</v>
      </c>
      <c r="E80" s="3040">
        <v>435.56</v>
      </c>
      <c r="F80" s="3040">
        <v>0</v>
      </c>
      <c r="G80" s="3053">
        <v>0</v>
      </c>
      <c r="H80" s="3040">
        <v>779.06</v>
      </c>
      <c r="I80" s="3053">
        <v>0</v>
      </c>
      <c r="J80" s="3053">
        <v>0</v>
      </c>
      <c r="K80" s="3053">
        <v>0</v>
      </c>
      <c r="L80" s="3053">
        <v>2</v>
      </c>
      <c r="M80" s="3053">
        <v>3</v>
      </c>
      <c r="N80" s="3053">
        <v>4</v>
      </c>
    </row>
    <row r="81" spans="1:14" ht="14.25" thickBot="1">
      <c r="A81" s="3051" t="s">
        <v>3150</v>
      </c>
      <c r="B81" s="3052">
        <v>0</v>
      </c>
      <c r="C81" s="3039" t="s">
        <v>3528</v>
      </c>
      <c r="D81" s="3040">
        <v>1816.88</v>
      </c>
      <c r="E81" s="3040">
        <v>652.01</v>
      </c>
      <c r="F81" s="3040">
        <v>0</v>
      </c>
      <c r="G81" s="3053">
        <v>0</v>
      </c>
      <c r="H81" s="3040">
        <v>1164.8699999999999</v>
      </c>
      <c r="I81" s="3053">
        <v>0</v>
      </c>
      <c r="J81" s="3053">
        <v>0</v>
      </c>
      <c r="K81" s="3053">
        <v>0</v>
      </c>
      <c r="L81" s="3053">
        <v>2</v>
      </c>
      <c r="M81" s="3053">
        <v>3</v>
      </c>
      <c r="N81" s="3053">
        <v>6</v>
      </c>
    </row>
    <row r="82" spans="1:14" ht="14.25" thickBot="1">
      <c r="A82" s="3051" t="s">
        <v>3151</v>
      </c>
      <c r="B82" s="3052">
        <v>0</v>
      </c>
      <c r="C82" s="3039" t="s">
        <v>3528</v>
      </c>
      <c r="D82" s="3040">
        <v>1816.88</v>
      </c>
      <c r="E82" s="3040">
        <v>652.01</v>
      </c>
      <c r="F82" s="3040">
        <v>0</v>
      </c>
      <c r="G82" s="3053">
        <v>0</v>
      </c>
      <c r="H82" s="3040">
        <v>1164.8699999999999</v>
      </c>
      <c r="I82" s="3053">
        <v>0</v>
      </c>
      <c r="J82" s="3053">
        <v>0</v>
      </c>
      <c r="K82" s="3053">
        <v>0</v>
      </c>
      <c r="L82" s="3053">
        <v>2</v>
      </c>
      <c r="M82" s="3053">
        <v>3</v>
      </c>
      <c r="N82" s="3053">
        <v>6</v>
      </c>
    </row>
    <row r="83" spans="1:14" ht="14.25" thickBot="1">
      <c r="A83" s="3051" t="s">
        <v>3152</v>
      </c>
      <c r="B83" s="3052">
        <v>167.44</v>
      </c>
      <c r="C83" s="3039" t="s">
        <v>3523</v>
      </c>
      <c r="D83" s="3040">
        <v>1213.94</v>
      </c>
      <c r="E83" s="3040">
        <v>435.56</v>
      </c>
      <c r="F83" s="3040">
        <v>0</v>
      </c>
      <c r="G83" s="3053">
        <v>0</v>
      </c>
      <c r="H83" s="3040">
        <v>778.38</v>
      </c>
      <c r="I83" s="3053">
        <v>0</v>
      </c>
      <c r="J83" s="3053">
        <v>0</v>
      </c>
      <c r="K83" s="3053">
        <v>0</v>
      </c>
      <c r="L83" s="3053">
        <v>2</v>
      </c>
      <c r="M83" s="3053">
        <v>3</v>
      </c>
      <c r="N83" s="3053">
        <v>4</v>
      </c>
    </row>
    <row r="84" spans="1:14" ht="14.25" thickBot="1">
      <c r="A84" s="3051" t="s">
        <v>3153</v>
      </c>
      <c r="B84" s="3052">
        <v>167.26</v>
      </c>
      <c r="C84" s="3039" t="s">
        <v>3523</v>
      </c>
      <c r="D84" s="3040">
        <v>1213.78</v>
      </c>
      <c r="E84" s="3040">
        <v>435.56</v>
      </c>
      <c r="F84" s="3040">
        <v>0</v>
      </c>
      <c r="G84" s="3053">
        <v>0</v>
      </c>
      <c r="H84" s="3040">
        <v>778.22</v>
      </c>
      <c r="I84" s="3053">
        <v>0</v>
      </c>
      <c r="J84" s="3053">
        <v>0</v>
      </c>
      <c r="K84" s="3053">
        <v>0</v>
      </c>
      <c r="L84" s="3053">
        <v>2</v>
      </c>
      <c r="M84" s="3053">
        <v>3</v>
      </c>
      <c r="N84" s="3053">
        <v>4</v>
      </c>
    </row>
    <row r="85" spans="1:14" ht="14.25" thickBot="1">
      <c r="A85" s="3051" t="s">
        <v>3154</v>
      </c>
      <c r="B85" s="3052">
        <v>0</v>
      </c>
      <c r="C85" s="3039" t="s">
        <v>3528</v>
      </c>
      <c r="D85" s="3040">
        <v>1816.32</v>
      </c>
      <c r="E85" s="3040">
        <v>652.01</v>
      </c>
      <c r="F85" s="3040">
        <v>0</v>
      </c>
      <c r="G85" s="3053">
        <v>0</v>
      </c>
      <c r="H85" s="3040">
        <v>1164.31</v>
      </c>
      <c r="I85" s="3053">
        <v>0</v>
      </c>
      <c r="J85" s="3053">
        <v>0</v>
      </c>
      <c r="K85" s="3053">
        <v>0</v>
      </c>
      <c r="L85" s="3053">
        <v>2</v>
      </c>
      <c r="M85" s="3053">
        <v>3</v>
      </c>
      <c r="N85" s="3053">
        <v>6</v>
      </c>
    </row>
    <row r="86" spans="1:14" ht="14.25" thickBot="1">
      <c r="A86" s="3054" t="s">
        <v>3529</v>
      </c>
      <c r="B86" s="3040">
        <v>31144.240000000002</v>
      </c>
      <c r="C86" s="3055"/>
      <c r="D86" s="3040">
        <f>SUM(D3:D85)</f>
        <v>130771.09999999999</v>
      </c>
      <c r="E86" s="3040">
        <f>SUM(E3:E85)</f>
        <v>46710.839999999989</v>
      </c>
      <c r="F86" s="3040">
        <v>0</v>
      </c>
      <c r="G86" s="3053">
        <v>0</v>
      </c>
      <c r="H86" s="3039">
        <f>SUM(H3:H85)</f>
        <v>84060.25999999998</v>
      </c>
      <c r="I86" s="3053">
        <v>0</v>
      </c>
      <c r="J86" s="3053">
        <v>0</v>
      </c>
      <c r="K86" s="3053">
        <v>0</v>
      </c>
      <c r="L86" s="3053" t="s">
        <v>3531</v>
      </c>
      <c r="M86" s="3053" t="s">
        <v>3532</v>
      </c>
      <c r="N86" s="3053">
        <f>SUM(N3:N85)</f>
        <v>420</v>
      </c>
    </row>
    <row r="87" spans="1:14" ht="14.25" thickBot="1">
      <c r="A87" s="3051" t="s">
        <v>3530</v>
      </c>
      <c r="B87" s="3052">
        <v>0</v>
      </c>
      <c r="C87" s="3039" t="s">
        <v>3528</v>
      </c>
      <c r="D87" s="3040">
        <f>SUM(E87:K87)</f>
        <v>58492.749999999993</v>
      </c>
      <c r="E87" s="3040">
        <v>42524.34</v>
      </c>
      <c r="F87" s="3040">
        <v>250</v>
      </c>
      <c r="G87" s="3053">
        <v>2038</v>
      </c>
      <c r="H87" s="3040">
        <v>10172.129999999999</v>
      </c>
      <c r="I87" s="3053">
        <v>0</v>
      </c>
      <c r="J87" s="3053">
        <v>230</v>
      </c>
      <c r="K87" s="3053">
        <f>3228.28+50</f>
        <v>3278.28</v>
      </c>
      <c r="L87" s="3053">
        <v>8</v>
      </c>
      <c r="M87" s="3053">
        <v>3</v>
      </c>
      <c r="N87" s="3053">
        <v>288</v>
      </c>
    </row>
    <row r="88" spans="1:14" ht="14.25" thickBot="1">
      <c r="A88" s="3054" t="s">
        <v>48</v>
      </c>
      <c r="B88" s="3052">
        <v>39574.06</v>
      </c>
      <c r="C88" s="3039" t="s">
        <v>3523</v>
      </c>
      <c r="D88" s="3040">
        <f>I88+K88</f>
        <v>39574.060000000005</v>
      </c>
      <c r="E88" s="3040"/>
      <c r="F88" s="3040"/>
      <c r="G88" s="3053"/>
      <c r="H88" s="3040"/>
      <c r="I88" s="3053">
        <v>38228.400000000001</v>
      </c>
      <c r="J88" s="3053"/>
      <c r="K88" s="3053">
        <v>1345.66</v>
      </c>
      <c r="L88" s="3053"/>
      <c r="M88" s="3053"/>
      <c r="N88" s="3053">
        <v>840</v>
      </c>
    </row>
    <row r="89" spans="1:14" ht="14.25" thickBot="1">
      <c r="A89" s="3054" t="s">
        <v>37</v>
      </c>
      <c r="B89" s="3052">
        <f>SUM(B3:B88)-B86</f>
        <v>70718.299999999974</v>
      </c>
      <c r="C89" s="3052">
        <f t="shared" ref="C89:K89" si="0">SUM(C3:C88)-C86</f>
        <v>0</v>
      </c>
      <c r="D89" s="3052">
        <f>SUM(D3:D88)-D86</f>
        <v>228837.90999999997</v>
      </c>
      <c r="E89" s="3052">
        <f>SUM(E3:E88)-E86</f>
        <v>89235.179999999964</v>
      </c>
      <c r="F89" s="3052">
        <f t="shared" si="0"/>
        <v>250</v>
      </c>
      <c r="G89" s="3052">
        <f t="shared" si="0"/>
        <v>2038</v>
      </c>
      <c r="H89" s="3052">
        <f t="shared" si="0"/>
        <v>94232.389999999985</v>
      </c>
      <c r="I89" s="3052">
        <f t="shared" si="0"/>
        <v>38228.400000000001</v>
      </c>
      <c r="J89" s="3052">
        <f t="shared" si="0"/>
        <v>230</v>
      </c>
      <c r="K89" s="3052">
        <f t="shared" si="0"/>
        <v>4623.9400000000005</v>
      </c>
      <c r="L89" s="3053" t="s">
        <v>3533</v>
      </c>
      <c r="M89" s="3053" t="s">
        <v>3532</v>
      </c>
      <c r="N89" s="2952" t="s">
        <v>3534</v>
      </c>
    </row>
    <row r="94" spans="1:14">
      <c r="C94">
        <v>58492.750000000007</v>
      </c>
      <c r="D94">
        <f>C94-D87</f>
        <v>0</v>
      </c>
    </row>
  </sheetData>
  <mergeCells count="9">
    <mergeCell ref="L1:L2"/>
    <mergeCell ref="M1:M2"/>
    <mergeCell ref="N1:N2"/>
    <mergeCell ref="A1:A2"/>
    <mergeCell ref="B1:B2"/>
    <mergeCell ref="C1:C2"/>
    <mergeCell ref="D1:D2"/>
    <mergeCell ref="E1:G1"/>
    <mergeCell ref="H1:K1"/>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4"/>
  <sheetViews>
    <sheetView tabSelected="1" topLeftCell="D79" workbookViewId="0">
      <selection activeCell="J106" sqref="J106"/>
    </sheetView>
  </sheetViews>
  <sheetFormatPr defaultRowHeight="13.5"/>
  <cols>
    <col min="1" max="1" width="9" style="2961"/>
    <col min="2" max="2" width="9" customWidth="1"/>
    <col min="3" max="3" width="13.5" customWidth="1"/>
    <col min="4" max="4" width="8.625" customWidth="1"/>
    <col min="5" max="5" width="9" style="2961"/>
    <col min="6" max="7" width="9" customWidth="1"/>
    <col min="8" max="8" width="9.625" customWidth="1"/>
    <col min="9" max="16" width="9" customWidth="1"/>
  </cols>
  <sheetData>
    <row r="1" spans="1:21">
      <c r="A1" s="2998" t="s">
        <v>3470</v>
      </c>
      <c r="B1" s="3008" t="s">
        <v>3358</v>
      </c>
      <c r="C1" s="3008" t="s">
        <v>3359</v>
      </c>
      <c r="D1" s="3008"/>
      <c r="E1" s="3009" t="s">
        <v>3360</v>
      </c>
      <c r="F1" s="3008" t="s">
        <v>3361</v>
      </c>
      <c r="G1" s="3008" t="s">
        <v>3362</v>
      </c>
      <c r="H1" s="3008" t="s">
        <v>3363</v>
      </c>
      <c r="I1" s="3009" t="s">
        <v>3471</v>
      </c>
      <c r="J1" t="s">
        <v>3076</v>
      </c>
      <c r="K1" t="s">
        <v>3184</v>
      </c>
      <c r="L1" t="s">
        <v>3158</v>
      </c>
      <c r="M1" t="s">
        <v>37</v>
      </c>
      <c r="N1" t="s">
        <v>3074</v>
      </c>
      <c r="O1" t="s">
        <v>3075</v>
      </c>
      <c r="P1" t="s">
        <v>37</v>
      </c>
    </row>
    <row r="2" spans="1:21" ht="17.45" customHeight="1">
      <c r="A2" s="2998">
        <v>1</v>
      </c>
      <c r="B2" s="3010" t="s">
        <v>3364</v>
      </c>
      <c r="C2" s="3010" t="s">
        <v>3365</v>
      </c>
      <c r="D2" s="3010">
        <v>1</v>
      </c>
      <c r="E2" s="3011">
        <v>101</v>
      </c>
      <c r="F2" s="3010" t="s">
        <v>3366</v>
      </c>
      <c r="G2" s="3012">
        <v>43415</v>
      </c>
      <c r="H2" s="3010">
        <v>14814102</v>
      </c>
      <c r="I2" s="2998"/>
      <c r="J2">
        <v>179.02</v>
      </c>
      <c r="K2">
        <v>114.83</v>
      </c>
      <c r="L2">
        <v>0</v>
      </c>
      <c r="M2">
        <v>293.85000000000002</v>
      </c>
      <c r="N2">
        <v>141.28</v>
      </c>
      <c r="O2">
        <v>152.57000000000002</v>
      </c>
      <c r="P2">
        <v>293.85000000000002</v>
      </c>
    </row>
    <row r="3" spans="1:21" ht="17.45" customHeight="1">
      <c r="A3" s="2998">
        <v>2</v>
      </c>
      <c r="B3" s="3010" t="s">
        <v>3364</v>
      </c>
      <c r="C3" s="3010" t="s">
        <v>3365</v>
      </c>
      <c r="D3" s="3010">
        <v>1</v>
      </c>
      <c r="E3" s="3011">
        <v>-201</v>
      </c>
      <c r="F3" s="3010" t="s">
        <v>3367</v>
      </c>
      <c r="G3" s="3012">
        <v>43423</v>
      </c>
      <c r="H3" s="3010">
        <v>2629000</v>
      </c>
      <c r="I3" s="2998"/>
      <c r="J3">
        <v>0</v>
      </c>
      <c r="K3">
        <v>114.3</v>
      </c>
      <c r="L3">
        <v>0</v>
      </c>
      <c r="M3">
        <v>114.3</v>
      </c>
      <c r="N3">
        <v>0</v>
      </c>
      <c r="O3">
        <v>114.3</v>
      </c>
      <c r="P3">
        <v>114.3</v>
      </c>
    </row>
    <row r="4" spans="1:21" ht="17.45" customHeight="1">
      <c r="A4" s="3032">
        <v>3</v>
      </c>
      <c r="B4" s="3013" t="s">
        <v>3472</v>
      </c>
      <c r="C4" s="3010" t="s">
        <v>3368</v>
      </c>
      <c r="D4" s="3010">
        <v>4</v>
      </c>
      <c r="E4" s="3011">
        <v>104</v>
      </c>
      <c r="F4" s="3010" t="s">
        <v>3369</v>
      </c>
      <c r="G4" s="3012">
        <v>43443</v>
      </c>
      <c r="H4" s="3010">
        <v>11014015</v>
      </c>
      <c r="I4" s="2998"/>
      <c r="J4">
        <v>134.18</v>
      </c>
      <c r="K4">
        <v>84.28</v>
      </c>
      <c r="L4">
        <v>0</v>
      </c>
      <c r="M4">
        <v>218.46</v>
      </c>
      <c r="N4">
        <v>108.67</v>
      </c>
      <c r="O4">
        <v>109.79</v>
      </c>
      <c r="P4">
        <v>218.46</v>
      </c>
    </row>
    <row r="5" spans="1:21" ht="17.45" customHeight="1">
      <c r="A5" s="3056">
        <v>4</v>
      </c>
      <c r="B5" s="3013"/>
      <c r="C5" s="3010" t="s">
        <v>3368</v>
      </c>
      <c r="D5" s="3010">
        <v>4</v>
      </c>
      <c r="E5" s="3011">
        <v>-204</v>
      </c>
      <c r="F5" s="3010"/>
      <c r="G5" s="3012"/>
      <c r="H5" s="3010"/>
      <c r="I5" s="3056"/>
      <c r="K5">
        <v>83.43</v>
      </c>
      <c r="M5">
        <v>83.43</v>
      </c>
      <c r="O5">
        <v>83.43</v>
      </c>
      <c r="P5">
        <v>83.43</v>
      </c>
    </row>
    <row r="6" spans="1:21" ht="17.45" customHeight="1">
      <c r="A6" s="3057">
        <v>5</v>
      </c>
      <c r="B6" s="3010" t="s">
        <v>3370</v>
      </c>
      <c r="C6" s="3010" t="s">
        <v>3371</v>
      </c>
      <c r="D6" s="3010">
        <v>7</v>
      </c>
      <c r="E6" s="3011">
        <v>104</v>
      </c>
      <c r="F6" s="3010" t="s">
        <v>3372</v>
      </c>
      <c r="G6" s="3012">
        <v>43415</v>
      </c>
      <c r="H6" s="3010">
        <v>11058019</v>
      </c>
      <c r="I6" s="2998"/>
      <c r="J6">
        <v>134.27000000000001</v>
      </c>
      <c r="K6">
        <v>84.36</v>
      </c>
      <c r="L6">
        <v>0</v>
      </c>
      <c r="M6">
        <v>218.63</v>
      </c>
      <c r="N6">
        <v>108.67</v>
      </c>
      <c r="O6">
        <v>109.96</v>
      </c>
      <c r="P6">
        <v>218.63</v>
      </c>
    </row>
    <row r="7" spans="1:21" ht="17.45" customHeight="1">
      <c r="A7" s="3057">
        <v>6</v>
      </c>
      <c r="B7" s="3010" t="s">
        <v>3370</v>
      </c>
      <c r="C7" s="3010" t="s">
        <v>3371</v>
      </c>
      <c r="D7" s="3010">
        <v>7</v>
      </c>
      <c r="E7" s="3011">
        <v>-204</v>
      </c>
      <c r="F7" s="3010" t="s">
        <v>3373</v>
      </c>
      <c r="G7" s="3012">
        <v>43428</v>
      </c>
      <c r="H7" s="3010">
        <v>1508900</v>
      </c>
      <c r="I7" s="2998"/>
      <c r="J7">
        <v>0</v>
      </c>
      <c r="K7">
        <v>83.63</v>
      </c>
      <c r="L7">
        <v>0</v>
      </c>
      <c r="M7">
        <v>83.63</v>
      </c>
      <c r="N7">
        <v>0</v>
      </c>
      <c r="O7">
        <v>83.63</v>
      </c>
      <c r="P7">
        <v>83.63</v>
      </c>
    </row>
    <row r="8" spans="1:21" ht="17.45" customHeight="1">
      <c r="A8" s="3057">
        <v>7</v>
      </c>
      <c r="B8" s="3010" t="s">
        <v>3374</v>
      </c>
      <c r="C8" s="3010" t="s">
        <v>3375</v>
      </c>
      <c r="D8" s="3010">
        <v>9</v>
      </c>
      <c r="E8" s="3011">
        <v>-203</v>
      </c>
      <c r="F8" s="3010" t="s">
        <v>3376</v>
      </c>
      <c r="G8" s="3012">
        <v>43425</v>
      </c>
      <c r="H8" s="3010">
        <v>1508000</v>
      </c>
      <c r="I8" s="2998"/>
      <c r="J8">
        <v>0</v>
      </c>
      <c r="K8">
        <v>83.6</v>
      </c>
      <c r="L8">
        <v>0</v>
      </c>
      <c r="M8">
        <v>83.6</v>
      </c>
      <c r="N8">
        <v>0</v>
      </c>
      <c r="O8">
        <v>83.6</v>
      </c>
      <c r="P8">
        <v>83.6</v>
      </c>
      <c r="S8" s="3045" t="s">
        <v>3536</v>
      </c>
      <c r="T8" s="3045" t="s">
        <v>3537</v>
      </c>
      <c r="U8" s="3045" t="s">
        <v>3538</v>
      </c>
    </row>
    <row r="9" spans="1:21" ht="17.45" customHeight="1">
      <c r="A9" s="3057">
        <v>8</v>
      </c>
      <c r="B9" s="3010" t="s">
        <v>3374</v>
      </c>
      <c r="C9" s="3010" t="s">
        <v>3375</v>
      </c>
      <c r="D9" s="3010">
        <v>9</v>
      </c>
      <c r="E9" s="3011">
        <v>103</v>
      </c>
      <c r="F9" s="3010" t="s">
        <v>3377</v>
      </c>
      <c r="G9" s="3012">
        <v>43425</v>
      </c>
      <c r="H9" s="3010">
        <v>11052047</v>
      </c>
      <c r="I9" s="2998"/>
      <c r="J9">
        <v>134.63999999999999</v>
      </c>
      <c r="K9">
        <v>84.58</v>
      </c>
      <c r="L9">
        <v>0</v>
      </c>
      <c r="M9">
        <v>219.21999999999997</v>
      </c>
      <c r="N9">
        <v>108.89</v>
      </c>
      <c r="O9">
        <v>110.32999999999997</v>
      </c>
      <c r="P9">
        <v>219.21999999999997</v>
      </c>
      <c r="S9" s="3045" t="s">
        <v>3535</v>
      </c>
      <c r="T9" s="3005"/>
      <c r="U9" s="3005"/>
    </row>
    <row r="10" spans="1:21" ht="17.45" customHeight="1">
      <c r="A10" s="3057">
        <v>9</v>
      </c>
      <c r="B10" s="3005" t="s">
        <v>3473</v>
      </c>
      <c r="C10" s="3014" t="s">
        <v>3474</v>
      </c>
      <c r="D10" s="3014">
        <v>10</v>
      </c>
      <c r="E10" s="3015">
        <v>101</v>
      </c>
      <c r="F10" s="3005"/>
      <c r="G10" s="3005"/>
      <c r="H10" s="3005">
        <v>10922439</v>
      </c>
      <c r="I10" s="3016" t="s">
        <v>3475</v>
      </c>
      <c r="J10">
        <v>134.29</v>
      </c>
      <c r="K10">
        <v>84.35</v>
      </c>
      <c r="L10">
        <v>0</v>
      </c>
      <c r="M10">
        <v>218.64</v>
      </c>
      <c r="N10">
        <v>108.67</v>
      </c>
      <c r="O10">
        <v>109.96999999999998</v>
      </c>
      <c r="P10">
        <v>218.64</v>
      </c>
    </row>
    <row r="11" spans="1:21" ht="17.45" customHeight="1">
      <c r="A11" s="3057">
        <v>10</v>
      </c>
      <c r="B11" s="3045" t="s">
        <v>3556</v>
      </c>
      <c r="C11" s="3014" t="s">
        <v>3474</v>
      </c>
      <c r="D11" s="3014">
        <v>10</v>
      </c>
      <c r="E11" s="3015">
        <v>-201</v>
      </c>
      <c r="F11" s="3005"/>
      <c r="G11" s="3005"/>
      <c r="H11" s="3005"/>
      <c r="I11" s="3016"/>
      <c r="K11">
        <f>房号明细!L78</f>
        <v>83.62</v>
      </c>
      <c r="M11">
        <f>K11</f>
        <v>83.62</v>
      </c>
      <c r="O11">
        <f>K11</f>
        <v>83.62</v>
      </c>
      <c r="P11">
        <f>O11</f>
        <v>83.62</v>
      </c>
    </row>
    <row r="12" spans="1:21" ht="17.45" customHeight="1">
      <c r="A12" s="3057">
        <v>11</v>
      </c>
      <c r="B12" s="3010" t="s">
        <v>3378</v>
      </c>
      <c r="C12" s="3010" t="s">
        <v>3379</v>
      </c>
      <c r="D12" s="3010">
        <v>11</v>
      </c>
      <c r="E12" s="3011">
        <v>101</v>
      </c>
      <c r="F12" s="3010" t="s">
        <v>3380</v>
      </c>
      <c r="G12" s="3012">
        <v>43417</v>
      </c>
      <c r="H12" s="3010">
        <v>8928290</v>
      </c>
      <c r="I12" s="2998"/>
      <c r="J12">
        <v>109.54</v>
      </c>
      <c r="K12">
        <v>68.819999999999993</v>
      </c>
      <c r="L12">
        <v>0</v>
      </c>
      <c r="M12">
        <v>178.36</v>
      </c>
      <c r="N12">
        <v>108.67</v>
      </c>
      <c r="O12">
        <v>69.690000000000012</v>
      </c>
      <c r="P12">
        <v>178.36</v>
      </c>
    </row>
    <row r="13" spans="1:21" ht="17.45" customHeight="1">
      <c r="A13" s="3057">
        <v>12</v>
      </c>
      <c r="B13" s="3010" t="s">
        <v>3378</v>
      </c>
      <c r="C13" s="3010" t="s">
        <v>3379</v>
      </c>
      <c r="D13" s="3010">
        <v>11</v>
      </c>
      <c r="E13" s="3011">
        <v>-201</v>
      </c>
      <c r="F13" s="3010" t="s">
        <v>3381</v>
      </c>
      <c r="G13" s="3012">
        <v>43433</v>
      </c>
      <c r="H13" s="3010">
        <v>2961600</v>
      </c>
      <c r="I13" s="2998"/>
      <c r="J13">
        <v>0</v>
      </c>
      <c r="K13">
        <v>123.72</v>
      </c>
      <c r="L13">
        <v>0</v>
      </c>
      <c r="M13">
        <v>123.72</v>
      </c>
      <c r="N13">
        <v>0</v>
      </c>
      <c r="O13">
        <v>123.72</v>
      </c>
      <c r="P13">
        <v>123.72</v>
      </c>
    </row>
    <row r="14" spans="1:21" ht="17.45" customHeight="1">
      <c r="A14" s="3057">
        <v>13</v>
      </c>
      <c r="B14" s="3010" t="s">
        <v>3382</v>
      </c>
      <c r="C14" s="3010" t="s">
        <v>3383</v>
      </c>
      <c r="D14" s="3010">
        <v>14</v>
      </c>
      <c r="E14" s="3011">
        <v>103</v>
      </c>
      <c r="F14" s="3010" t="s">
        <v>3384</v>
      </c>
      <c r="G14" s="3012">
        <v>43424</v>
      </c>
      <c r="H14" s="3010">
        <v>11088117</v>
      </c>
      <c r="I14" s="2998"/>
      <c r="J14">
        <v>134.63999999999999</v>
      </c>
      <c r="K14">
        <v>84.58</v>
      </c>
      <c r="L14">
        <v>0</v>
      </c>
      <c r="M14">
        <v>219.21999999999997</v>
      </c>
      <c r="N14">
        <v>108.89</v>
      </c>
      <c r="O14">
        <v>110.32999999999997</v>
      </c>
      <c r="P14">
        <v>219.21999999999997</v>
      </c>
    </row>
    <row r="15" spans="1:21" ht="17.45" customHeight="1">
      <c r="A15" s="3057">
        <v>14</v>
      </c>
      <c r="B15" s="3010" t="s">
        <v>3382</v>
      </c>
      <c r="C15" s="3010" t="s">
        <v>3383</v>
      </c>
      <c r="D15" s="3010">
        <v>14</v>
      </c>
      <c r="E15" s="3011">
        <v>-203</v>
      </c>
      <c r="F15" s="3010" t="s">
        <v>3385</v>
      </c>
      <c r="G15" s="3012">
        <v>43424</v>
      </c>
      <c r="H15" s="3010">
        <v>1516400</v>
      </c>
      <c r="I15" s="2998"/>
      <c r="J15">
        <v>0</v>
      </c>
      <c r="K15">
        <v>83.88</v>
      </c>
      <c r="L15">
        <v>0</v>
      </c>
      <c r="M15">
        <v>83.88</v>
      </c>
      <c r="N15">
        <v>0</v>
      </c>
      <c r="O15">
        <v>83.88</v>
      </c>
      <c r="P15">
        <v>83.88</v>
      </c>
    </row>
    <row r="16" spans="1:21" ht="17.45" customHeight="1">
      <c r="A16" s="3057">
        <v>15</v>
      </c>
      <c r="B16" s="3010" t="s">
        <v>3386</v>
      </c>
      <c r="C16" s="3010" t="s">
        <v>3387</v>
      </c>
      <c r="D16" s="3010">
        <v>16</v>
      </c>
      <c r="E16" s="3011">
        <v>101</v>
      </c>
      <c r="F16" s="3010" t="s">
        <v>3388</v>
      </c>
      <c r="G16" s="3012">
        <v>43417</v>
      </c>
      <c r="H16" s="3010">
        <v>11403353</v>
      </c>
      <c r="I16" s="2998"/>
      <c r="J16">
        <v>138.47</v>
      </c>
      <c r="K16">
        <v>86.98</v>
      </c>
      <c r="L16">
        <v>0</v>
      </c>
      <c r="M16">
        <v>225.45</v>
      </c>
      <c r="N16">
        <v>112.51</v>
      </c>
      <c r="O16">
        <v>112.93999999999998</v>
      </c>
      <c r="P16">
        <v>225.45</v>
      </c>
    </row>
    <row r="17" spans="1:16" ht="17.45" customHeight="1">
      <c r="A17" s="3057">
        <v>16</v>
      </c>
      <c r="B17" s="3010" t="s">
        <v>3389</v>
      </c>
      <c r="C17" s="3010" t="s">
        <v>3387</v>
      </c>
      <c r="D17" s="3010">
        <v>16</v>
      </c>
      <c r="E17" s="3011">
        <v>-203</v>
      </c>
      <c r="F17" s="3010" t="s">
        <v>3390</v>
      </c>
      <c r="G17" s="3012">
        <v>43445</v>
      </c>
      <c r="H17" s="3010">
        <v>2131800</v>
      </c>
      <c r="I17" s="2998"/>
      <c r="J17">
        <v>0</v>
      </c>
      <c r="K17">
        <v>86.06</v>
      </c>
      <c r="L17">
        <v>0</v>
      </c>
      <c r="M17">
        <v>86.06</v>
      </c>
      <c r="N17">
        <v>0</v>
      </c>
      <c r="O17">
        <v>86.06</v>
      </c>
      <c r="P17">
        <v>86.06</v>
      </c>
    </row>
    <row r="18" spans="1:16" ht="17.45" customHeight="1">
      <c r="A18" s="3057">
        <v>17</v>
      </c>
      <c r="B18" s="3010" t="s">
        <v>3386</v>
      </c>
      <c r="C18" s="3010" t="s">
        <v>3387</v>
      </c>
      <c r="D18" s="3010">
        <v>16</v>
      </c>
      <c r="E18" s="3011">
        <v>-201</v>
      </c>
      <c r="F18" s="3010" t="s">
        <v>3391</v>
      </c>
      <c r="G18" s="3012">
        <v>43428</v>
      </c>
      <c r="H18" s="3010">
        <v>2060500</v>
      </c>
      <c r="I18" s="2998"/>
      <c r="J18">
        <v>0</v>
      </c>
      <c r="K18">
        <v>85.35</v>
      </c>
      <c r="L18">
        <v>0</v>
      </c>
      <c r="M18">
        <v>85.35</v>
      </c>
      <c r="N18">
        <v>0</v>
      </c>
      <c r="O18">
        <v>85.35</v>
      </c>
      <c r="P18">
        <v>85.35</v>
      </c>
    </row>
    <row r="19" spans="1:16" ht="17.45" customHeight="1">
      <c r="A19" s="3057">
        <v>18</v>
      </c>
      <c r="B19" s="3010" t="s">
        <v>3389</v>
      </c>
      <c r="C19" s="3010" t="s">
        <v>3387</v>
      </c>
      <c r="D19" s="3010">
        <v>16</v>
      </c>
      <c r="E19" s="3011">
        <v>103</v>
      </c>
      <c r="F19" s="3010" t="s">
        <v>3392</v>
      </c>
      <c r="G19" s="3012">
        <v>43415</v>
      </c>
      <c r="H19" s="3010">
        <v>11465289</v>
      </c>
      <c r="I19" s="2998"/>
      <c r="J19">
        <v>138.68</v>
      </c>
      <c r="K19">
        <v>88.6</v>
      </c>
      <c r="L19">
        <v>0</v>
      </c>
      <c r="M19">
        <v>227.28</v>
      </c>
      <c r="N19">
        <v>112.52000000000002</v>
      </c>
      <c r="O19">
        <v>114.75999999999998</v>
      </c>
      <c r="P19">
        <v>227.28</v>
      </c>
    </row>
    <row r="20" spans="1:16" ht="17.45" customHeight="1">
      <c r="A20" s="3057">
        <v>19</v>
      </c>
      <c r="B20" s="3010" t="s">
        <v>3393</v>
      </c>
      <c r="C20" s="3010" t="s">
        <v>3394</v>
      </c>
      <c r="D20" s="3010">
        <v>19</v>
      </c>
      <c r="E20" s="3011">
        <v>101</v>
      </c>
      <c r="F20" s="3010" t="s">
        <v>3395</v>
      </c>
      <c r="G20" s="3012">
        <v>43417</v>
      </c>
      <c r="H20" s="3010">
        <v>10921504</v>
      </c>
      <c r="I20" s="2998"/>
      <c r="J20">
        <v>134.27000000000001</v>
      </c>
      <c r="K20">
        <v>84.36</v>
      </c>
      <c r="L20">
        <v>0</v>
      </c>
      <c r="M20">
        <v>218.63</v>
      </c>
      <c r="N20">
        <v>108.67</v>
      </c>
      <c r="O20">
        <v>109.96</v>
      </c>
      <c r="P20">
        <v>218.63</v>
      </c>
    </row>
    <row r="21" spans="1:16" ht="17.45" customHeight="1">
      <c r="A21" s="3057">
        <v>20</v>
      </c>
      <c r="B21" s="3010" t="s">
        <v>3396</v>
      </c>
      <c r="C21" s="3010" t="s">
        <v>3394</v>
      </c>
      <c r="D21" s="3010">
        <v>19</v>
      </c>
      <c r="E21" s="3011">
        <v>104</v>
      </c>
      <c r="F21" s="3010" t="s">
        <v>3397</v>
      </c>
      <c r="G21" s="3012">
        <v>43419</v>
      </c>
      <c r="H21" s="3010">
        <v>11058019</v>
      </c>
      <c r="I21" s="2998"/>
      <c r="J21">
        <v>134.27000000000001</v>
      </c>
      <c r="K21">
        <v>84.36</v>
      </c>
      <c r="L21">
        <v>0</v>
      </c>
      <c r="M21">
        <v>218.63</v>
      </c>
      <c r="N21">
        <v>108.67</v>
      </c>
      <c r="O21">
        <v>109.96</v>
      </c>
      <c r="P21">
        <v>218.63</v>
      </c>
    </row>
    <row r="22" spans="1:16" ht="17.45" customHeight="1">
      <c r="A22" s="3057">
        <v>21</v>
      </c>
      <c r="B22" s="3010" t="s">
        <v>3396</v>
      </c>
      <c r="C22" s="3010" t="s">
        <v>3394</v>
      </c>
      <c r="D22" s="3010">
        <v>19</v>
      </c>
      <c r="E22" s="3011">
        <v>-204</v>
      </c>
      <c r="F22" s="3010" t="s">
        <v>3398</v>
      </c>
      <c r="G22" s="3012">
        <v>43419</v>
      </c>
      <c r="H22" s="3010">
        <v>2008900</v>
      </c>
      <c r="I22" s="2998"/>
      <c r="J22">
        <v>0</v>
      </c>
      <c r="K22">
        <v>83.63</v>
      </c>
      <c r="L22">
        <v>0</v>
      </c>
      <c r="M22">
        <v>83.63</v>
      </c>
      <c r="N22">
        <v>0</v>
      </c>
      <c r="O22">
        <v>83.63</v>
      </c>
      <c r="P22">
        <v>83.63</v>
      </c>
    </row>
    <row r="23" spans="1:16" ht="17.45" customHeight="1">
      <c r="A23" s="3057">
        <v>22</v>
      </c>
      <c r="B23" s="3010" t="s">
        <v>3393</v>
      </c>
      <c r="C23" s="3010" t="s">
        <v>3394</v>
      </c>
      <c r="D23" s="3010">
        <v>19</v>
      </c>
      <c r="E23" s="3011">
        <v>-201</v>
      </c>
      <c r="F23" s="3010" t="s">
        <v>3399</v>
      </c>
      <c r="G23" s="3012">
        <v>43438</v>
      </c>
      <c r="H23" s="3010">
        <v>2358900</v>
      </c>
      <c r="I23" s="2998"/>
      <c r="J23">
        <v>0</v>
      </c>
      <c r="K23">
        <v>83.63</v>
      </c>
      <c r="L23">
        <v>0</v>
      </c>
      <c r="M23">
        <v>83.63</v>
      </c>
      <c r="N23">
        <v>0</v>
      </c>
      <c r="O23">
        <v>83.63</v>
      </c>
      <c r="P23">
        <v>83.63</v>
      </c>
    </row>
    <row r="24" spans="1:16" ht="17.45" customHeight="1">
      <c r="A24" s="3057">
        <v>23</v>
      </c>
      <c r="B24" s="3010" t="s">
        <v>3400</v>
      </c>
      <c r="C24" s="3010" t="s">
        <v>3401</v>
      </c>
      <c r="D24" s="3010">
        <v>21</v>
      </c>
      <c r="E24" s="3011">
        <v>103</v>
      </c>
      <c r="F24" s="3010" t="s">
        <v>3402</v>
      </c>
      <c r="G24" s="3012">
        <v>43444</v>
      </c>
      <c r="H24" s="3010">
        <v>11052047</v>
      </c>
      <c r="I24" s="2998"/>
      <c r="J24">
        <v>134.63999999999999</v>
      </c>
      <c r="K24">
        <v>84.58</v>
      </c>
      <c r="L24">
        <v>0</v>
      </c>
      <c r="M24">
        <v>219.21999999999997</v>
      </c>
      <c r="N24">
        <v>108.89</v>
      </c>
      <c r="O24">
        <v>110.32999999999997</v>
      </c>
      <c r="P24">
        <v>219.21999999999997</v>
      </c>
    </row>
    <row r="25" spans="1:16" ht="17.45" customHeight="1">
      <c r="A25" s="3057">
        <v>24</v>
      </c>
      <c r="B25" s="3010" t="s">
        <v>3400</v>
      </c>
      <c r="C25" s="3010" t="s">
        <v>3401</v>
      </c>
      <c r="D25" s="3010">
        <v>21</v>
      </c>
      <c r="E25" s="3011">
        <v>-203</v>
      </c>
      <c r="F25" s="3010" t="s">
        <v>3403</v>
      </c>
      <c r="G25" s="3012">
        <v>43451</v>
      </c>
      <c r="H25" s="3010">
        <v>2458000</v>
      </c>
      <c r="I25" s="2998"/>
      <c r="J25">
        <v>0</v>
      </c>
      <c r="K25">
        <v>83.6</v>
      </c>
      <c r="L25">
        <v>0</v>
      </c>
      <c r="M25">
        <v>83.6</v>
      </c>
      <c r="N25">
        <v>0</v>
      </c>
      <c r="O25">
        <v>83.6</v>
      </c>
      <c r="P25">
        <v>83.6</v>
      </c>
    </row>
    <row r="26" spans="1:16" ht="17.45" customHeight="1">
      <c r="A26" s="3057">
        <v>25</v>
      </c>
      <c r="B26" s="3010" t="s">
        <v>3404</v>
      </c>
      <c r="C26" s="3010" t="s">
        <v>3405</v>
      </c>
      <c r="D26" s="3010">
        <v>24</v>
      </c>
      <c r="E26" s="3011">
        <v>103</v>
      </c>
      <c r="F26" s="3010" t="s">
        <v>3406</v>
      </c>
      <c r="G26" s="3012">
        <v>43415</v>
      </c>
      <c r="H26" s="3010">
        <v>11052047</v>
      </c>
      <c r="I26" s="2998"/>
      <c r="J26">
        <v>134.63999999999999</v>
      </c>
      <c r="K26">
        <v>84.58</v>
      </c>
      <c r="L26">
        <v>0</v>
      </c>
      <c r="M26">
        <v>219.21999999999997</v>
      </c>
      <c r="N26">
        <v>108.89</v>
      </c>
      <c r="O26">
        <v>110.32999999999997</v>
      </c>
      <c r="P26">
        <v>219.21999999999997</v>
      </c>
    </row>
    <row r="27" spans="1:16" ht="17.45" customHeight="1">
      <c r="A27" s="3057">
        <v>26</v>
      </c>
      <c r="B27" s="3010" t="s">
        <v>3404</v>
      </c>
      <c r="C27" s="3010" t="s">
        <v>3405</v>
      </c>
      <c r="D27" s="3010">
        <v>24</v>
      </c>
      <c r="E27" s="3011">
        <v>-203</v>
      </c>
      <c r="F27" s="3010" t="s">
        <v>3407</v>
      </c>
      <c r="G27" s="3012">
        <v>43423</v>
      </c>
      <c r="H27" s="3010">
        <v>1508000</v>
      </c>
      <c r="I27" s="2998"/>
      <c r="J27">
        <v>0</v>
      </c>
      <c r="K27">
        <v>83.6</v>
      </c>
      <c r="L27">
        <v>0</v>
      </c>
      <c r="M27">
        <v>83.6</v>
      </c>
      <c r="N27">
        <v>0</v>
      </c>
      <c r="O27">
        <v>83.6</v>
      </c>
      <c r="P27">
        <v>83.6</v>
      </c>
    </row>
    <row r="28" spans="1:16" ht="17.45" customHeight="1">
      <c r="A28" s="3057">
        <v>27</v>
      </c>
      <c r="B28" s="3010" t="s">
        <v>3408</v>
      </c>
      <c r="C28" s="3010" t="s">
        <v>3409</v>
      </c>
      <c r="D28" s="3010">
        <v>26</v>
      </c>
      <c r="E28" s="3011">
        <v>103</v>
      </c>
      <c r="F28" s="3010" t="s">
        <v>3410</v>
      </c>
      <c r="G28" s="3012">
        <v>43444</v>
      </c>
      <c r="H28" s="3010">
        <v>14759341</v>
      </c>
      <c r="I28" s="2998"/>
      <c r="J28">
        <v>178.29</v>
      </c>
      <c r="K28">
        <v>114.55</v>
      </c>
      <c r="L28">
        <v>0</v>
      </c>
      <c r="M28">
        <v>292.83999999999997</v>
      </c>
      <c r="N28">
        <v>140.9</v>
      </c>
      <c r="O28">
        <v>151.93999999999997</v>
      </c>
      <c r="P28">
        <v>292.83999999999997</v>
      </c>
    </row>
    <row r="29" spans="1:16" ht="17.45" customHeight="1">
      <c r="A29" s="3057">
        <v>28</v>
      </c>
      <c r="B29" s="3010" t="s">
        <v>3408</v>
      </c>
      <c r="C29" s="3010" t="s">
        <v>3409</v>
      </c>
      <c r="D29" s="3010">
        <v>26</v>
      </c>
      <c r="E29" s="3011">
        <v>-203</v>
      </c>
      <c r="F29" s="3010" t="s">
        <v>3411</v>
      </c>
      <c r="G29" s="3012">
        <v>43450</v>
      </c>
      <c r="H29" s="3010">
        <v>2873600</v>
      </c>
      <c r="I29" s="2998"/>
      <c r="J29">
        <v>0</v>
      </c>
      <c r="K29">
        <v>114.12</v>
      </c>
      <c r="L29">
        <v>0</v>
      </c>
      <c r="M29">
        <v>114.12</v>
      </c>
      <c r="N29">
        <v>0</v>
      </c>
      <c r="O29">
        <v>114.12</v>
      </c>
      <c r="P29">
        <v>114.12</v>
      </c>
    </row>
    <row r="30" spans="1:16" ht="17.45" customHeight="1">
      <c r="A30" s="3057">
        <v>29</v>
      </c>
      <c r="B30" s="3073" t="s">
        <v>3564</v>
      </c>
      <c r="C30" s="3072" t="s">
        <v>3477</v>
      </c>
      <c r="D30" s="3010">
        <v>28</v>
      </c>
      <c r="E30" s="3011">
        <v>101</v>
      </c>
      <c r="F30" s="3010"/>
      <c r="G30" s="3012"/>
      <c r="H30" s="3010">
        <v>10938382</v>
      </c>
      <c r="I30" s="2998" t="s">
        <v>3478</v>
      </c>
      <c r="J30">
        <v>134.29</v>
      </c>
      <c r="K30">
        <v>84.35</v>
      </c>
      <c r="L30">
        <v>0</v>
      </c>
      <c r="M30">
        <v>218.64</v>
      </c>
      <c r="N30">
        <v>108.67</v>
      </c>
      <c r="O30">
        <v>109.96999999999998</v>
      </c>
      <c r="P30">
        <v>218.64</v>
      </c>
    </row>
    <row r="31" spans="1:16" ht="17.45" customHeight="1">
      <c r="A31" s="3057">
        <v>30</v>
      </c>
      <c r="B31" s="3010"/>
      <c r="C31" s="3072" t="s">
        <v>3477</v>
      </c>
      <c r="D31" s="3010">
        <v>28</v>
      </c>
      <c r="E31" s="3011">
        <v>-201</v>
      </c>
      <c r="F31" s="3010"/>
      <c r="G31" s="3012"/>
      <c r="H31" s="3010"/>
      <c r="I31" s="3057"/>
      <c r="K31">
        <f>房号明细!L244</f>
        <v>83.45</v>
      </c>
      <c r="M31">
        <f>K31</f>
        <v>83.45</v>
      </c>
      <c r="O31">
        <f>K31</f>
        <v>83.45</v>
      </c>
      <c r="P31">
        <f>O31</f>
        <v>83.45</v>
      </c>
    </row>
    <row r="32" spans="1:16" ht="17.45" customHeight="1">
      <c r="A32" s="3057">
        <v>31</v>
      </c>
      <c r="B32" s="3010" t="s">
        <v>3412</v>
      </c>
      <c r="C32" s="3010" t="s">
        <v>3413</v>
      </c>
      <c r="D32" s="3010">
        <v>33</v>
      </c>
      <c r="E32" s="3011">
        <v>104</v>
      </c>
      <c r="F32" s="3010" t="s">
        <v>3414</v>
      </c>
      <c r="G32" s="3012">
        <v>43451</v>
      </c>
      <c r="H32" s="3010">
        <v>11052074</v>
      </c>
      <c r="I32" s="2998"/>
      <c r="J32">
        <v>134.19999999999999</v>
      </c>
      <c r="K32">
        <v>84.31</v>
      </c>
      <c r="L32">
        <v>0</v>
      </c>
      <c r="M32">
        <v>218.51</v>
      </c>
      <c r="N32">
        <v>108.67</v>
      </c>
      <c r="O32">
        <v>109.83999999999999</v>
      </c>
      <c r="P32">
        <v>218.51</v>
      </c>
    </row>
    <row r="33" spans="1:19" ht="17.45" customHeight="1">
      <c r="A33" s="3057">
        <v>32</v>
      </c>
      <c r="B33" s="3010" t="s">
        <v>3412</v>
      </c>
      <c r="C33" s="3010" t="s">
        <v>3413</v>
      </c>
      <c r="D33" s="3010">
        <v>33</v>
      </c>
      <c r="E33" s="3011">
        <v>-204</v>
      </c>
      <c r="F33" s="3010" t="s">
        <v>3415</v>
      </c>
      <c r="G33" s="3012">
        <v>43452</v>
      </c>
      <c r="H33" s="3010">
        <v>1953200</v>
      </c>
      <c r="I33" s="2998"/>
      <c r="J33">
        <v>0</v>
      </c>
      <c r="K33">
        <v>83.44</v>
      </c>
      <c r="L33">
        <v>0</v>
      </c>
      <c r="M33">
        <v>83.44</v>
      </c>
      <c r="N33">
        <v>0</v>
      </c>
      <c r="O33">
        <v>83.44</v>
      </c>
      <c r="P33">
        <v>83.44</v>
      </c>
    </row>
    <row r="34" spans="1:19" ht="17.45" customHeight="1">
      <c r="A34" s="3057">
        <v>33</v>
      </c>
      <c r="B34" s="3010" t="s">
        <v>3416</v>
      </c>
      <c r="C34" s="3010" t="s">
        <v>3417</v>
      </c>
      <c r="D34" s="3010">
        <v>34</v>
      </c>
      <c r="E34" s="3011">
        <v>104</v>
      </c>
      <c r="F34" s="3010" t="s">
        <v>3418</v>
      </c>
      <c r="G34" s="3012">
        <v>43416</v>
      </c>
      <c r="H34" s="3010">
        <v>11092145</v>
      </c>
      <c r="I34" s="2998"/>
      <c r="J34">
        <v>135.05000000000001</v>
      </c>
      <c r="K34">
        <v>85.04</v>
      </c>
      <c r="L34">
        <v>0</v>
      </c>
      <c r="M34">
        <v>220.09000000000003</v>
      </c>
      <c r="N34">
        <v>109.52</v>
      </c>
      <c r="O34">
        <v>110.57000000000004</v>
      </c>
      <c r="P34">
        <v>220.09000000000003</v>
      </c>
    </row>
    <row r="35" spans="1:19" ht="17.45" customHeight="1">
      <c r="A35" s="3057">
        <v>34</v>
      </c>
      <c r="B35" s="3010" t="s">
        <v>3416</v>
      </c>
      <c r="C35" s="3010" t="s">
        <v>3417</v>
      </c>
      <c r="D35" s="3010">
        <v>34</v>
      </c>
      <c r="E35" s="3011">
        <v>-204</v>
      </c>
      <c r="F35" s="3010" t="s">
        <v>3419</v>
      </c>
      <c r="G35" s="3012">
        <v>43427</v>
      </c>
      <c r="H35" s="3010">
        <v>2079300</v>
      </c>
      <c r="I35" s="2998"/>
      <c r="J35">
        <v>0</v>
      </c>
      <c r="K35">
        <v>84.31</v>
      </c>
      <c r="L35">
        <v>0</v>
      </c>
      <c r="M35">
        <v>84.31</v>
      </c>
      <c r="N35">
        <v>0</v>
      </c>
      <c r="O35">
        <v>84.31</v>
      </c>
      <c r="P35">
        <v>84.31</v>
      </c>
      <c r="R35" s="3067">
        <v>51</v>
      </c>
      <c r="S35">
        <f>P46</f>
        <v>218.46</v>
      </c>
    </row>
    <row r="36" spans="1:19" ht="17.45" customHeight="1">
      <c r="A36" s="3057">
        <v>35</v>
      </c>
      <c r="B36" s="3073" t="s">
        <v>3565</v>
      </c>
      <c r="C36" s="3072" t="s">
        <v>3480</v>
      </c>
      <c r="D36" s="3010">
        <v>35</v>
      </c>
      <c r="E36" s="3011">
        <v>104</v>
      </c>
      <c r="F36" s="3010"/>
      <c r="G36" s="3012"/>
      <c r="H36" s="3010">
        <v>10352066</v>
      </c>
      <c r="I36" s="2998" t="s">
        <v>3478</v>
      </c>
      <c r="J36">
        <v>134.91999999999999</v>
      </c>
      <c r="K36">
        <v>84.95</v>
      </c>
      <c r="L36">
        <v>0</v>
      </c>
      <c r="M36">
        <v>219.87</v>
      </c>
      <c r="N36">
        <v>109.52</v>
      </c>
      <c r="O36">
        <v>110.35000000000001</v>
      </c>
      <c r="P36">
        <v>219.87</v>
      </c>
      <c r="R36" s="3067">
        <v>59</v>
      </c>
      <c r="S36">
        <f>P48</f>
        <v>218.67000000000002</v>
      </c>
    </row>
    <row r="37" spans="1:19" ht="17.45" customHeight="1">
      <c r="A37" s="3057">
        <v>36</v>
      </c>
      <c r="B37" s="3010"/>
      <c r="C37" s="3072" t="s">
        <v>3480</v>
      </c>
      <c r="D37" s="3010">
        <v>35</v>
      </c>
      <c r="E37" s="3011">
        <v>-204</v>
      </c>
      <c r="F37" s="3010"/>
      <c r="G37" s="3012"/>
      <c r="H37" s="3010"/>
      <c r="I37" s="3057"/>
      <c r="K37">
        <f>房号明细!L317</f>
        <v>84.35</v>
      </c>
      <c r="M37">
        <f>K37</f>
        <v>84.35</v>
      </c>
      <c r="O37">
        <f>K37</f>
        <v>84.35</v>
      </c>
      <c r="P37">
        <f>O37</f>
        <v>84.35</v>
      </c>
      <c r="R37" s="3067"/>
    </row>
    <row r="38" spans="1:19" ht="17.45" customHeight="1">
      <c r="A38" s="3057">
        <v>37</v>
      </c>
      <c r="B38" s="3017" t="s">
        <v>3420</v>
      </c>
      <c r="C38" s="3010" t="s">
        <v>3421</v>
      </c>
      <c r="D38" s="3010">
        <v>38</v>
      </c>
      <c r="E38" s="3011">
        <v>106</v>
      </c>
      <c r="F38" s="3010" t="s">
        <v>3422</v>
      </c>
      <c r="G38" s="3012">
        <v>43453</v>
      </c>
      <c r="H38" s="3010">
        <v>10642254</v>
      </c>
      <c r="I38" s="2998"/>
      <c r="J38">
        <v>134.54</v>
      </c>
      <c r="K38">
        <v>84.8</v>
      </c>
      <c r="L38">
        <v>0</v>
      </c>
      <c r="M38">
        <v>219.33999999999997</v>
      </c>
      <c r="N38">
        <v>108.66</v>
      </c>
      <c r="O38">
        <v>110.67999999999998</v>
      </c>
      <c r="P38">
        <v>219.33999999999997</v>
      </c>
      <c r="R38" s="3067">
        <v>35</v>
      </c>
      <c r="S38">
        <f>P36</f>
        <v>219.87</v>
      </c>
    </row>
    <row r="39" spans="1:19" ht="17.45" customHeight="1">
      <c r="A39" s="3057">
        <v>38</v>
      </c>
      <c r="B39" s="3017" t="s">
        <v>3420</v>
      </c>
      <c r="C39" s="3010" t="s">
        <v>3421</v>
      </c>
      <c r="D39" s="3010">
        <v>38</v>
      </c>
      <c r="E39" s="3011">
        <v>-206</v>
      </c>
      <c r="F39" s="3010" t="s">
        <v>3423</v>
      </c>
      <c r="G39" s="3012">
        <v>43453</v>
      </c>
      <c r="H39" s="3010">
        <v>1575400</v>
      </c>
      <c r="I39" s="2998"/>
      <c r="J39">
        <v>0</v>
      </c>
      <c r="K39">
        <v>84.18</v>
      </c>
      <c r="L39">
        <v>0</v>
      </c>
      <c r="M39">
        <v>84.18</v>
      </c>
      <c r="N39">
        <v>0</v>
      </c>
      <c r="O39">
        <v>84.18</v>
      </c>
      <c r="P39">
        <v>84.18</v>
      </c>
      <c r="R39" s="3067">
        <v>28</v>
      </c>
      <c r="S39">
        <f>P30</f>
        <v>218.64</v>
      </c>
    </row>
    <row r="40" spans="1:19" ht="17.45" customHeight="1">
      <c r="A40" s="3057">
        <v>39</v>
      </c>
      <c r="B40" s="3010" t="s">
        <v>3424</v>
      </c>
      <c r="C40" s="3010" t="s">
        <v>3425</v>
      </c>
      <c r="D40" s="3010">
        <v>39</v>
      </c>
      <c r="E40" s="3011">
        <v>-201</v>
      </c>
      <c r="F40" s="3010" t="s">
        <v>3426</v>
      </c>
      <c r="G40" s="3012">
        <v>43419</v>
      </c>
      <c r="H40" s="3010">
        <v>2278700</v>
      </c>
      <c r="I40" s="2998"/>
      <c r="J40">
        <v>0</v>
      </c>
      <c r="K40">
        <v>84.29</v>
      </c>
      <c r="L40">
        <v>0</v>
      </c>
      <c r="M40">
        <v>84.29</v>
      </c>
      <c r="N40">
        <v>0</v>
      </c>
      <c r="O40">
        <v>84.29</v>
      </c>
      <c r="P40">
        <v>84.29</v>
      </c>
      <c r="R40" s="3067">
        <v>10</v>
      </c>
      <c r="S40">
        <f>P10+P11</f>
        <v>302.26</v>
      </c>
    </row>
    <row r="41" spans="1:19" ht="17.45" customHeight="1">
      <c r="A41" s="3057">
        <v>40</v>
      </c>
      <c r="B41" s="3010" t="s">
        <v>3424</v>
      </c>
      <c r="C41" s="3010" t="s">
        <v>3425</v>
      </c>
      <c r="D41" s="3010">
        <v>39</v>
      </c>
      <c r="E41" s="3011">
        <v>101</v>
      </c>
      <c r="F41" s="3010" t="s">
        <v>3427</v>
      </c>
      <c r="G41" s="3012">
        <v>43416</v>
      </c>
      <c r="H41" s="3010">
        <v>10917358</v>
      </c>
      <c r="I41" s="2998"/>
      <c r="J41">
        <v>134.97999999999999</v>
      </c>
      <c r="K41">
        <v>84.99</v>
      </c>
      <c r="L41">
        <v>0</v>
      </c>
      <c r="M41">
        <v>219.96999999999997</v>
      </c>
      <c r="N41">
        <v>109.52</v>
      </c>
      <c r="O41">
        <v>110.44999999999997</v>
      </c>
      <c r="P41">
        <v>219.96999999999997</v>
      </c>
      <c r="R41" s="3067">
        <v>38</v>
      </c>
      <c r="S41">
        <f>P39+P38</f>
        <v>303.52</v>
      </c>
    </row>
    <row r="42" spans="1:19" ht="17.45" customHeight="1">
      <c r="A42" s="3057">
        <v>41</v>
      </c>
      <c r="B42" s="3010" t="s">
        <v>3428</v>
      </c>
      <c r="C42" s="3010" t="s">
        <v>3429</v>
      </c>
      <c r="D42" s="3010">
        <v>44</v>
      </c>
      <c r="E42" s="3011">
        <v>104</v>
      </c>
      <c r="F42" s="3010" t="s">
        <v>3430</v>
      </c>
      <c r="G42" s="3012">
        <v>43418</v>
      </c>
      <c r="H42" s="3010">
        <v>11049903</v>
      </c>
      <c r="I42" s="2998"/>
      <c r="J42">
        <v>134.18</v>
      </c>
      <c r="K42">
        <v>84.28</v>
      </c>
      <c r="L42">
        <v>0</v>
      </c>
      <c r="M42">
        <v>218.46</v>
      </c>
      <c r="N42">
        <v>108.67</v>
      </c>
      <c r="O42">
        <v>109.79</v>
      </c>
      <c r="P42">
        <v>218.46</v>
      </c>
    </row>
    <row r="43" spans="1:19" ht="17.45" customHeight="1">
      <c r="A43" s="3057">
        <v>42</v>
      </c>
      <c r="B43" s="3010" t="s">
        <v>3428</v>
      </c>
      <c r="C43" s="3010" t="s">
        <v>3429</v>
      </c>
      <c r="D43" s="3010">
        <v>44</v>
      </c>
      <c r="E43" s="3011">
        <v>-204</v>
      </c>
      <c r="F43" s="3010" t="s">
        <v>3431</v>
      </c>
      <c r="G43" s="3012">
        <v>43423</v>
      </c>
      <c r="H43" s="3010">
        <v>1502900</v>
      </c>
      <c r="I43" s="2998"/>
      <c r="J43">
        <v>0</v>
      </c>
      <c r="K43">
        <v>83.43</v>
      </c>
      <c r="L43">
        <v>0</v>
      </c>
      <c r="M43">
        <v>83.43</v>
      </c>
      <c r="N43">
        <v>0</v>
      </c>
      <c r="O43">
        <v>83.43</v>
      </c>
      <c r="P43">
        <v>83.43</v>
      </c>
    </row>
    <row r="44" spans="1:19" ht="17.45" customHeight="1">
      <c r="A44" s="3057">
        <v>43</v>
      </c>
      <c r="B44" s="3013" t="s">
        <v>3563</v>
      </c>
      <c r="C44" s="3010" t="s">
        <v>3433</v>
      </c>
      <c r="D44" s="3010">
        <v>50</v>
      </c>
      <c r="E44" s="3011">
        <v>101</v>
      </c>
      <c r="F44" s="3010" t="s">
        <v>3434</v>
      </c>
      <c r="G44" s="3012">
        <v>43451</v>
      </c>
      <c r="H44" s="3010">
        <v>10846363</v>
      </c>
      <c r="I44" s="2998"/>
      <c r="J44">
        <v>134.18</v>
      </c>
      <c r="K44">
        <v>84.28</v>
      </c>
      <c r="L44">
        <v>0</v>
      </c>
      <c r="M44">
        <v>218.46</v>
      </c>
      <c r="N44">
        <v>108.67</v>
      </c>
      <c r="O44">
        <v>109.79</v>
      </c>
      <c r="P44">
        <v>218.46</v>
      </c>
    </row>
    <row r="45" spans="1:19" ht="17.45" customHeight="1">
      <c r="A45" s="3057">
        <v>44</v>
      </c>
      <c r="B45" s="3018"/>
      <c r="C45" s="3010" t="s">
        <v>3433</v>
      </c>
      <c r="D45" s="3010">
        <v>50</v>
      </c>
      <c r="E45" s="3011">
        <v>-201</v>
      </c>
      <c r="F45" s="3010"/>
      <c r="G45" s="3012"/>
      <c r="H45" s="3010"/>
      <c r="I45" s="3057"/>
      <c r="K45">
        <f>房号明细!L482</f>
        <v>83.43</v>
      </c>
      <c r="M45">
        <f>K45</f>
        <v>83.43</v>
      </c>
      <c r="O45">
        <f>K45</f>
        <v>83.43</v>
      </c>
      <c r="P45">
        <f>O45</f>
        <v>83.43</v>
      </c>
    </row>
    <row r="46" spans="1:19" ht="17.45" customHeight="1">
      <c r="A46" s="3057">
        <v>45</v>
      </c>
      <c r="B46" s="3073" t="s">
        <v>3566</v>
      </c>
      <c r="C46" s="3072" t="s">
        <v>3481</v>
      </c>
      <c r="D46" s="3010">
        <v>51</v>
      </c>
      <c r="E46" s="3011">
        <v>104</v>
      </c>
      <c r="F46" s="3010"/>
      <c r="G46" s="3012"/>
      <c r="H46" s="3010">
        <v>11049903</v>
      </c>
      <c r="I46" s="2998" t="s">
        <v>3478</v>
      </c>
      <c r="J46">
        <v>134.18</v>
      </c>
      <c r="K46">
        <v>84.28</v>
      </c>
      <c r="L46">
        <v>0</v>
      </c>
      <c r="M46">
        <v>218.46</v>
      </c>
      <c r="N46">
        <v>108.67</v>
      </c>
      <c r="O46">
        <v>109.79</v>
      </c>
      <c r="P46">
        <v>218.46</v>
      </c>
    </row>
    <row r="47" spans="1:19" ht="17.45" customHeight="1">
      <c r="A47" s="3057">
        <v>46</v>
      </c>
      <c r="B47" s="3010"/>
      <c r="C47" s="3072" t="s">
        <v>3481</v>
      </c>
      <c r="D47" s="3010">
        <v>51</v>
      </c>
      <c r="E47" s="3011">
        <v>-204</v>
      </c>
      <c r="F47" s="3010"/>
      <c r="G47" s="3012"/>
      <c r="H47" s="3010"/>
      <c r="I47" s="3057"/>
      <c r="K47">
        <f>房号明细!L497</f>
        <v>83.43</v>
      </c>
      <c r="M47">
        <f>K47</f>
        <v>83.43</v>
      </c>
      <c r="O47">
        <f>K47</f>
        <v>83.43</v>
      </c>
      <c r="P47">
        <f>O47</f>
        <v>83.43</v>
      </c>
    </row>
    <row r="48" spans="1:19" ht="17.45" customHeight="1">
      <c r="A48" s="3057">
        <v>47</v>
      </c>
      <c r="B48" s="3010" t="s">
        <v>3482</v>
      </c>
      <c r="C48" s="3072" t="s">
        <v>3483</v>
      </c>
      <c r="D48" s="3010">
        <v>59</v>
      </c>
      <c r="E48" s="3011">
        <v>104</v>
      </c>
      <c r="F48" s="3010"/>
      <c r="G48" s="3012"/>
      <c r="H48" s="3010">
        <v>11060224</v>
      </c>
      <c r="I48" s="2998" t="s">
        <v>3478</v>
      </c>
      <c r="J48">
        <v>134.30000000000001</v>
      </c>
      <c r="K48">
        <v>84.37</v>
      </c>
      <c r="L48">
        <v>0</v>
      </c>
      <c r="M48">
        <v>218.67000000000002</v>
      </c>
      <c r="N48">
        <v>108.67</v>
      </c>
      <c r="O48">
        <v>110.00000000000001</v>
      </c>
      <c r="P48">
        <v>218.67000000000002</v>
      </c>
    </row>
    <row r="49" spans="1:16" ht="17.45" customHeight="1">
      <c r="A49" s="3057">
        <v>48</v>
      </c>
      <c r="B49" s="3010"/>
      <c r="C49" s="3072" t="s">
        <v>3483</v>
      </c>
      <c r="D49" s="3010">
        <v>59</v>
      </c>
      <c r="E49" s="3011">
        <v>-204</v>
      </c>
      <c r="F49" s="3010"/>
      <c r="G49" s="3012"/>
      <c r="H49" s="3010"/>
      <c r="I49" s="3057"/>
      <c r="K49">
        <f>房号明细!L593</f>
        <v>83.45</v>
      </c>
      <c r="M49">
        <f>K49</f>
        <v>83.45</v>
      </c>
      <c r="O49">
        <f>K49</f>
        <v>83.45</v>
      </c>
      <c r="P49">
        <f>O49</f>
        <v>83.45</v>
      </c>
    </row>
    <row r="50" spans="1:16" ht="17.45" customHeight="1">
      <c r="A50" s="3032"/>
      <c r="B50" s="3010"/>
      <c r="C50" s="3010"/>
      <c r="D50" s="3010"/>
      <c r="E50" s="3011"/>
      <c r="F50" s="3010"/>
      <c r="G50" s="3012"/>
      <c r="H50" s="3010"/>
      <c r="I50" s="2998"/>
      <c r="J50" s="2999">
        <f t="shared" ref="J50:O50" si="0">SUM(J2:J49)</f>
        <v>3298.6599999999994</v>
      </c>
      <c r="K50" s="2999">
        <f t="shared" si="0"/>
        <v>4193.3899999999985</v>
      </c>
      <c r="L50" s="2999">
        <f t="shared" si="0"/>
        <v>0</v>
      </c>
      <c r="M50" s="2999">
        <f t="shared" si="0"/>
        <v>7492.050000000002</v>
      </c>
      <c r="N50" s="2999">
        <f t="shared" si="0"/>
        <v>2684.0300000000007</v>
      </c>
      <c r="O50" s="2999">
        <f t="shared" si="0"/>
        <v>4808.0199999999995</v>
      </c>
      <c r="P50" s="2999">
        <f>SUM(P2:P49)</f>
        <v>7492.050000000002</v>
      </c>
    </row>
    <row r="51" spans="1:16" ht="17.45" customHeight="1">
      <c r="A51" s="3032">
        <v>49</v>
      </c>
      <c r="B51" s="3010" t="s">
        <v>3404</v>
      </c>
      <c r="C51" s="3010" t="s">
        <v>3435</v>
      </c>
      <c r="D51" s="3010"/>
      <c r="E51" s="3011">
        <v>211</v>
      </c>
      <c r="F51" s="3010" t="s">
        <v>3436</v>
      </c>
      <c r="G51" s="3012">
        <v>43415</v>
      </c>
      <c r="H51" s="3010">
        <v>420000</v>
      </c>
      <c r="I51" s="2998"/>
      <c r="L51">
        <v>45.51</v>
      </c>
      <c r="M51">
        <v>45.51</v>
      </c>
      <c r="O51">
        <v>45.51</v>
      </c>
      <c r="P51">
        <v>45.51</v>
      </c>
    </row>
    <row r="52" spans="1:16" ht="17.45" customHeight="1">
      <c r="A52" s="3032">
        <v>50</v>
      </c>
      <c r="B52" s="3010" t="s">
        <v>3404</v>
      </c>
      <c r="C52" s="3010" t="s">
        <v>3435</v>
      </c>
      <c r="D52" s="3010"/>
      <c r="E52" s="3011">
        <v>212</v>
      </c>
      <c r="F52" s="3010" t="s">
        <v>3437</v>
      </c>
      <c r="G52" s="3012">
        <v>43415</v>
      </c>
      <c r="H52" s="3010">
        <v>420000</v>
      </c>
      <c r="I52" s="2998"/>
      <c r="L52">
        <v>45.51</v>
      </c>
      <c r="M52">
        <v>45.51</v>
      </c>
      <c r="O52">
        <v>45.51</v>
      </c>
      <c r="P52">
        <v>45.51</v>
      </c>
    </row>
    <row r="53" spans="1:16" ht="17.45" customHeight="1">
      <c r="A53" s="3057">
        <v>51</v>
      </c>
      <c r="B53" s="3010" t="s">
        <v>3424</v>
      </c>
      <c r="C53" s="3010" t="s">
        <v>3435</v>
      </c>
      <c r="D53" s="3010"/>
      <c r="E53" s="3011">
        <v>373</v>
      </c>
      <c r="F53" s="3010" t="s">
        <v>3438</v>
      </c>
      <c r="G53" s="3012">
        <v>43416</v>
      </c>
      <c r="H53" s="3010">
        <v>420000</v>
      </c>
      <c r="I53" s="2998"/>
      <c r="L53">
        <v>45.51</v>
      </c>
      <c r="M53">
        <v>45.51</v>
      </c>
      <c r="O53">
        <v>45.51</v>
      </c>
      <c r="P53">
        <v>45.51</v>
      </c>
    </row>
    <row r="54" spans="1:16" ht="17.45" customHeight="1">
      <c r="A54" s="3057">
        <v>52</v>
      </c>
      <c r="B54" s="3010" t="s">
        <v>3424</v>
      </c>
      <c r="C54" s="3010" t="s">
        <v>3435</v>
      </c>
      <c r="D54" s="3010"/>
      <c r="E54" s="3011">
        <v>374</v>
      </c>
      <c r="F54" s="3010" t="s">
        <v>3439</v>
      </c>
      <c r="G54" s="3012">
        <v>43416</v>
      </c>
      <c r="H54" s="3010">
        <v>420000</v>
      </c>
      <c r="I54" s="2998"/>
      <c r="L54">
        <v>45.51</v>
      </c>
      <c r="M54">
        <v>45.51</v>
      </c>
      <c r="O54">
        <v>45.51</v>
      </c>
      <c r="P54">
        <v>45.51</v>
      </c>
    </row>
    <row r="55" spans="1:16" ht="17.45" customHeight="1">
      <c r="A55" s="3057">
        <v>53</v>
      </c>
      <c r="B55" s="3010" t="s">
        <v>3378</v>
      </c>
      <c r="C55" s="3010" t="s">
        <v>3435</v>
      </c>
      <c r="D55" s="3010"/>
      <c r="E55" s="3011">
        <v>97</v>
      </c>
      <c r="F55" s="3010" t="s">
        <v>3440</v>
      </c>
      <c r="G55" s="3012">
        <v>43417</v>
      </c>
      <c r="H55" s="3010">
        <v>420000</v>
      </c>
      <c r="I55" s="2998"/>
      <c r="L55">
        <v>45.51</v>
      </c>
      <c r="M55">
        <v>45.51</v>
      </c>
      <c r="O55">
        <v>45.51</v>
      </c>
      <c r="P55">
        <v>45.51</v>
      </c>
    </row>
    <row r="56" spans="1:16" ht="17.45" customHeight="1">
      <c r="A56" s="3057">
        <v>54</v>
      </c>
      <c r="B56" s="3010" t="s">
        <v>3378</v>
      </c>
      <c r="C56" s="3010" t="s">
        <v>3435</v>
      </c>
      <c r="D56" s="3010"/>
      <c r="E56" s="3011">
        <v>98</v>
      </c>
      <c r="F56" s="3010" t="s">
        <v>3441</v>
      </c>
      <c r="G56" s="3012">
        <v>43417</v>
      </c>
      <c r="H56" s="3010">
        <v>420000</v>
      </c>
      <c r="I56" s="2998"/>
      <c r="L56">
        <v>45.51</v>
      </c>
      <c r="M56">
        <v>45.51</v>
      </c>
      <c r="O56">
        <v>45.51</v>
      </c>
      <c r="P56">
        <v>45.51</v>
      </c>
    </row>
    <row r="57" spans="1:16" ht="17.45" customHeight="1">
      <c r="A57" s="3057">
        <v>55</v>
      </c>
      <c r="B57" s="3010" t="s">
        <v>3400</v>
      </c>
      <c r="C57" s="3010" t="s">
        <v>3435</v>
      </c>
      <c r="D57" s="3010"/>
      <c r="E57" s="3011">
        <v>191</v>
      </c>
      <c r="F57" s="3010" t="s">
        <v>3442</v>
      </c>
      <c r="G57" s="3012">
        <v>43451</v>
      </c>
      <c r="H57" s="3010">
        <v>420000</v>
      </c>
      <c r="I57" s="2998"/>
      <c r="L57">
        <v>45.51</v>
      </c>
      <c r="M57">
        <v>45.51</v>
      </c>
      <c r="O57">
        <v>45.51</v>
      </c>
      <c r="P57">
        <v>45.51</v>
      </c>
    </row>
    <row r="58" spans="1:16" ht="17.45" customHeight="1">
      <c r="A58" s="3057">
        <v>56</v>
      </c>
      <c r="B58" s="3010" t="s">
        <v>3400</v>
      </c>
      <c r="C58" s="3010" t="s">
        <v>3435</v>
      </c>
      <c r="D58" s="3010"/>
      <c r="E58" s="3011">
        <v>192</v>
      </c>
      <c r="F58" s="3010" t="s">
        <v>3443</v>
      </c>
      <c r="G58" s="3012">
        <v>43451</v>
      </c>
      <c r="H58" s="3010">
        <v>420000</v>
      </c>
      <c r="I58" s="2998"/>
      <c r="L58">
        <v>45.51</v>
      </c>
      <c r="M58">
        <v>45.51</v>
      </c>
      <c r="O58">
        <v>45.51</v>
      </c>
      <c r="P58">
        <v>45.51</v>
      </c>
    </row>
    <row r="59" spans="1:16" ht="17.45" customHeight="1">
      <c r="A59" s="3057">
        <v>57</v>
      </c>
      <c r="B59" s="3010" t="s">
        <v>3408</v>
      </c>
      <c r="C59" s="3010" t="s">
        <v>3435</v>
      </c>
      <c r="D59" s="3010"/>
      <c r="E59" s="3011">
        <v>228</v>
      </c>
      <c r="F59" s="3010" t="s">
        <v>3444</v>
      </c>
      <c r="G59" s="3012">
        <v>43450</v>
      </c>
      <c r="H59" s="3010">
        <v>420000</v>
      </c>
      <c r="I59" s="2998"/>
      <c r="L59">
        <v>45.51</v>
      </c>
      <c r="M59">
        <v>45.51</v>
      </c>
      <c r="O59">
        <v>45.51</v>
      </c>
      <c r="P59">
        <v>45.51</v>
      </c>
    </row>
    <row r="60" spans="1:16" ht="17.45" customHeight="1">
      <c r="A60" s="3057">
        <v>58</v>
      </c>
      <c r="B60" s="3010" t="s">
        <v>3408</v>
      </c>
      <c r="C60" s="3010" t="s">
        <v>3435</v>
      </c>
      <c r="D60" s="3010"/>
      <c r="E60" s="3011">
        <v>227</v>
      </c>
      <c r="F60" s="3010" t="s">
        <v>3445</v>
      </c>
      <c r="G60" s="3012">
        <v>43450</v>
      </c>
      <c r="H60" s="3010">
        <v>420000</v>
      </c>
      <c r="I60" s="2998"/>
      <c r="L60">
        <v>45.51</v>
      </c>
      <c r="M60">
        <v>45.51</v>
      </c>
      <c r="O60">
        <v>45.51</v>
      </c>
      <c r="P60">
        <v>45.51</v>
      </c>
    </row>
    <row r="61" spans="1:16" ht="17.45" customHeight="1">
      <c r="A61" s="3057">
        <v>59</v>
      </c>
      <c r="B61" s="3010" t="s">
        <v>3416</v>
      </c>
      <c r="C61" s="3010" t="s">
        <v>3435</v>
      </c>
      <c r="D61" s="3010"/>
      <c r="E61" s="3011">
        <v>298</v>
      </c>
      <c r="F61" s="3010" t="s">
        <v>3446</v>
      </c>
      <c r="G61" s="3012">
        <v>43416</v>
      </c>
      <c r="H61" s="3010">
        <v>420000</v>
      </c>
      <c r="I61" s="2998"/>
      <c r="L61">
        <v>45.51</v>
      </c>
      <c r="M61">
        <v>45.51</v>
      </c>
      <c r="O61">
        <v>45.51</v>
      </c>
      <c r="P61">
        <v>45.51</v>
      </c>
    </row>
    <row r="62" spans="1:16" ht="17.45" customHeight="1">
      <c r="A62" s="3057">
        <v>60</v>
      </c>
      <c r="B62" s="3010" t="s">
        <v>3416</v>
      </c>
      <c r="C62" s="3010" t="s">
        <v>3435</v>
      </c>
      <c r="D62" s="3010"/>
      <c r="E62" s="3011">
        <v>297</v>
      </c>
      <c r="F62" s="3010" t="s">
        <v>3447</v>
      </c>
      <c r="G62" s="3012">
        <v>43416</v>
      </c>
      <c r="H62" s="3010">
        <v>420000</v>
      </c>
      <c r="I62" s="2998"/>
      <c r="L62">
        <v>45.51</v>
      </c>
      <c r="M62">
        <v>45.51</v>
      </c>
      <c r="O62">
        <v>45.51</v>
      </c>
      <c r="P62">
        <v>45.51</v>
      </c>
    </row>
    <row r="63" spans="1:16" ht="17.45" customHeight="1">
      <c r="A63" s="3057">
        <v>61</v>
      </c>
      <c r="B63" s="3010" t="s">
        <v>3393</v>
      </c>
      <c r="C63" s="3010" t="s">
        <v>3435</v>
      </c>
      <c r="D63" s="3010"/>
      <c r="E63" s="3011">
        <v>160</v>
      </c>
      <c r="F63" s="3010" t="s">
        <v>3448</v>
      </c>
      <c r="G63" s="3012">
        <v>43417</v>
      </c>
      <c r="H63" s="3010">
        <v>420000</v>
      </c>
      <c r="I63" s="2998"/>
      <c r="L63">
        <v>45.51</v>
      </c>
      <c r="M63">
        <v>45.51</v>
      </c>
      <c r="O63">
        <v>45.51</v>
      </c>
      <c r="P63">
        <v>45.51</v>
      </c>
    </row>
    <row r="64" spans="1:16" ht="17.45" customHeight="1">
      <c r="A64" s="3057">
        <v>62</v>
      </c>
      <c r="B64" s="3010" t="s">
        <v>3393</v>
      </c>
      <c r="C64" s="3010" t="s">
        <v>3435</v>
      </c>
      <c r="D64" s="3010"/>
      <c r="E64" s="3011">
        <v>159</v>
      </c>
      <c r="F64" s="3010" t="s">
        <v>3449</v>
      </c>
      <c r="G64" s="3012">
        <v>43417</v>
      </c>
      <c r="H64" s="3010">
        <v>420000</v>
      </c>
      <c r="I64" s="2998"/>
      <c r="L64">
        <v>45.51</v>
      </c>
      <c r="M64">
        <v>45.51</v>
      </c>
      <c r="O64">
        <v>45.51</v>
      </c>
      <c r="P64">
        <v>45.51</v>
      </c>
    </row>
    <row r="65" spans="1:16" ht="17.45" customHeight="1">
      <c r="A65" s="3057">
        <v>63</v>
      </c>
      <c r="B65" s="3010" t="s">
        <v>3389</v>
      </c>
      <c r="C65" s="3010" t="s">
        <v>3435</v>
      </c>
      <c r="D65" s="3010"/>
      <c r="E65" s="3011">
        <v>129</v>
      </c>
      <c r="F65" s="3010" t="s">
        <v>3450</v>
      </c>
      <c r="G65" s="3012">
        <v>43417</v>
      </c>
      <c r="H65" s="3010">
        <v>420000</v>
      </c>
      <c r="I65" s="2998"/>
      <c r="L65">
        <v>45.51</v>
      </c>
      <c r="M65">
        <v>45.51</v>
      </c>
      <c r="O65">
        <v>45.51</v>
      </c>
      <c r="P65">
        <v>45.51</v>
      </c>
    </row>
    <row r="66" spans="1:16" ht="17.45" customHeight="1">
      <c r="A66" s="3057">
        <v>64</v>
      </c>
      <c r="B66" s="3010" t="s">
        <v>3389</v>
      </c>
      <c r="C66" s="3010" t="s">
        <v>3435</v>
      </c>
      <c r="D66" s="3010"/>
      <c r="E66" s="3011">
        <v>130</v>
      </c>
      <c r="F66" s="3010" t="s">
        <v>3451</v>
      </c>
      <c r="G66" s="3012">
        <v>43417</v>
      </c>
      <c r="H66" s="3010">
        <v>420000</v>
      </c>
      <c r="I66" s="2998"/>
      <c r="L66">
        <v>45.51</v>
      </c>
      <c r="M66">
        <v>45.51</v>
      </c>
      <c r="O66">
        <v>45.51</v>
      </c>
      <c r="P66">
        <v>45.51</v>
      </c>
    </row>
    <row r="67" spans="1:16" ht="17.45" customHeight="1">
      <c r="A67" s="3057">
        <v>65</v>
      </c>
      <c r="B67" s="3010" t="s">
        <v>3428</v>
      </c>
      <c r="C67" s="3010" t="s">
        <v>3435</v>
      </c>
      <c r="D67" s="3010"/>
      <c r="E67" s="3011">
        <v>405</v>
      </c>
      <c r="F67" s="3010" t="s">
        <v>3452</v>
      </c>
      <c r="G67" s="3012">
        <v>43418</v>
      </c>
      <c r="H67" s="3010">
        <v>420000</v>
      </c>
      <c r="I67" s="2998"/>
      <c r="L67">
        <v>45.51</v>
      </c>
      <c r="M67">
        <v>45.51</v>
      </c>
      <c r="O67">
        <v>45.51</v>
      </c>
      <c r="P67">
        <v>45.51</v>
      </c>
    </row>
    <row r="68" spans="1:16" ht="17.45" customHeight="1">
      <c r="A68" s="3057">
        <v>66</v>
      </c>
      <c r="B68" s="3010" t="s">
        <v>3428</v>
      </c>
      <c r="C68" s="3010" t="s">
        <v>3435</v>
      </c>
      <c r="D68" s="3010"/>
      <c r="E68" s="3011">
        <v>406</v>
      </c>
      <c r="F68" s="3010" t="s">
        <v>3453</v>
      </c>
      <c r="G68" s="3012">
        <v>43418</v>
      </c>
      <c r="H68" s="3010">
        <v>420000</v>
      </c>
      <c r="I68" s="2998"/>
      <c r="L68">
        <v>45.51</v>
      </c>
      <c r="M68">
        <v>45.51</v>
      </c>
      <c r="O68">
        <v>45.51</v>
      </c>
      <c r="P68">
        <v>45.51</v>
      </c>
    </row>
    <row r="69" spans="1:16" ht="17.45" customHeight="1">
      <c r="A69" s="3057">
        <v>67</v>
      </c>
      <c r="B69" s="3010" t="s">
        <v>3396</v>
      </c>
      <c r="C69" s="3010" t="s">
        <v>3435</v>
      </c>
      <c r="D69" s="3010"/>
      <c r="E69" s="3011">
        <v>178</v>
      </c>
      <c r="F69" s="3010" t="s">
        <v>3454</v>
      </c>
      <c r="G69" s="3012">
        <v>43419</v>
      </c>
      <c r="H69" s="3010">
        <v>420000</v>
      </c>
      <c r="I69" s="2998"/>
      <c r="L69">
        <v>45.51</v>
      </c>
      <c r="M69">
        <v>45.51</v>
      </c>
      <c r="O69">
        <v>45.51</v>
      </c>
      <c r="P69">
        <v>45.51</v>
      </c>
    </row>
    <row r="70" spans="1:16" ht="17.45" customHeight="1">
      <c r="A70" s="3057">
        <v>68</v>
      </c>
      <c r="B70" s="3010" t="s">
        <v>3396</v>
      </c>
      <c r="C70" s="3010" t="s">
        <v>3435</v>
      </c>
      <c r="D70" s="3010"/>
      <c r="E70" s="3011">
        <v>177</v>
      </c>
      <c r="F70" s="3010" t="s">
        <v>3455</v>
      </c>
      <c r="G70" s="3012">
        <v>43419</v>
      </c>
      <c r="H70" s="3010">
        <v>420000</v>
      </c>
      <c r="I70" s="2998"/>
      <c r="L70">
        <v>45.51</v>
      </c>
      <c r="M70">
        <v>45.51</v>
      </c>
      <c r="O70">
        <v>45.51</v>
      </c>
      <c r="P70">
        <v>45.51</v>
      </c>
    </row>
    <row r="71" spans="1:16" ht="17.45" customHeight="1">
      <c r="A71" s="3057">
        <v>69</v>
      </c>
      <c r="B71" s="3010" t="s">
        <v>3364</v>
      </c>
      <c r="C71" s="3010" t="s">
        <v>3435</v>
      </c>
      <c r="D71" s="3010"/>
      <c r="E71" s="3011">
        <v>5</v>
      </c>
      <c r="F71" s="3010" t="s">
        <v>3456</v>
      </c>
      <c r="G71" s="3012">
        <v>43423</v>
      </c>
      <c r="H71" s="3010">
        <v>420000</v>
      </c>
      <c r="I71" s="2998"/>
      <c r="L71">
        <v>45.51</v>
      </c>
      <c r="M71">
        <v>45.51</v>
      </c>
      <c r="O71">
        <v>45.51</v>
      </c>
      <c r="P71">
        <v>45.51</v>
      </c>
    </row>
    <row r="72" spans="1:16" ht="17.45" customHeight="1">
      <c r="A72" s="3057">
        <v>70</v>
      </c>
      <c r="B72" s="3010" t="s">
        <v>3364</v>
      </c>
      <c r="C72" s="3010" t="s">
        <v>3435</v>
      </c>
      <c r="D72" s="3010"/>
      <c r="E72" s="3011">
        <v>6</v>
      </c>
      <c r="F72" s="3010" t="s">
        <v>3457</v>
      </c>
      <c r="G72" s="3012">
        <v>43423</v>
      </c>
      <c r="H72" s="3010">
        <v>420000</v>
      </c>
      <c r="I72" s="2998"/>
      <c r="L72">
        <v>45.51</v>
      </c>
      <c r="M72">
        <v>45.51</v>
      </c>
      <c r="O72">
        <v>45.51</v>
      </c>
      <c r="P72">
        <v>45.51</v>
      </c>
    </row>
    <row r="73" spans="1:16" ht="17.45" customHeight="1">
      <c r="A73" s="3057">
        <v>71</v>
      </c>
      <c r="B73" s="3010" t="s">
        <v>3382</v>
      </c>
      <c r="C73" s="3010" t="s">
        <v>3435</v>
      </c>
      <c r="D73" s="3010"/>
      <c r="E73" s="3011">
        <v>119</v>
      </c>
      <c r="F73" s="3010" t="s">
        <v>3458</v>
      </c>
      <c r="G73" s="3012">
        <v>43424</v>
      </c>
      <c r="H73" s="3010">
        <v>420000</v>
      </c>
      <c r="I73" s="2998"/>
      <c r="L73">
        <v>45.51</v>
      </c>
      <c r="M73">
        <v>45.51</v>
      </c>
      <c r="O73">
        <v>45.51</v>
      </c>
      <c r="P73">
        <v>45.51</v>
      </c>
    </row>
    <row r="74" spans="1:16" ht="17.45" customHeight="1">
      <c r="A74" s="3057">
        <v>72</v>
      </c>
      <c r="B74" s="3010" t="s">
        <v>3382</v>
      </c>
      <c r="C74" s="3010" t="s">
        <v>3435</v>
      </c>
      <c r="D74" s="3010"/>
      <c r="E74" s="3011">
        <v>120</v>
      </c>
      <c r="F74" s="3010" t="s">
        <v>3459</v>
      </c>
      <c r="G74" s="3012">
        <v>43424</v>
      </c>
      <c r="H74" s="3010">
        <v>420000</v>
      </c>
      <c r="I74" s="2998"/>
      <c r="L74">
        <v>45.51</v>
      </c>
      <c r="M74">
        <v>45.51</v>
      </c>
      <c r="O74">
        <v>45.51</v>
      </c>
      <c r="P74">
        <v>45.51</v>
      </c>
    </row>
    <row r="75" spans="1:16" ht="17.45" customHeight="1">
      <c r="A75" s="3057">
        <v>73</v>
      </c>
      <c r="B75" s="3010" t="s">
        <v>3374</v>
      </c>
      <c r="C75" s="3010" t="s">
        <v>3435</v>
      </c>
      <c r="D75" s="3010"/>
      <c r="E75" s="3011">
        <v>86</v>
      </c>
      <c r="F75" s="3010" t="s">
        <v>3460</v>
      </c>
      <c r="G75" s="3012">
        <v>43425</v>
      </c>
      <c r="H75" s="3010">
        <v>420000</v>
      </c>
      <c r="I75" s="2998"/>
      <c r="L75">
        <v>45.51</v>
      </c>
      <c r="M75">
        <v>45.51</v>
      </c>
      <c r="O75">
        <v>45.51</v>
      </c>
      <c r="P75">
        <v>45.51</v>
      </c>
    </row>
    <row r="76" spans="1:16" ht="17.45" customHeight="1">
      <c r="A76" s="3057">
        <v>74</v>
      </c>
      <c r="B76" s="3010" t="s">
        <v>3374</v>
      </c>
      <c r="C76" s="3010" t="s">
        <v>3435</v>
      </c>
      <c r="D76" s="3010"/>
      <c r="E76" s="3011">
        <v>85</v>
      </c>
      <c r="F76" s="3010" t="s">
        <v>3461</v>
      </c>
      <c r="G76" s="3012">
        <v>43425</v>
      </c>
      <c r="H76" s="3010">
        <v>420000</v>
      </c>
      <c r="I76" s="2998"/>
      <c r="L76">
        <v>45.51</v>
      </c>
      <c r="M76">
        <v>45.51</v>
      </c>
      <c r="O76">
        <v>45.51</v>
      </c>
      <c r="P76">
        <v>45.51</v>
      </c>
    </row>
    <row r="77" spans="1:16" ht="17.45" customHeight="1">
      <c r="A77" s="3057">
        <v>75</v>
      </c>
      <c r="B77" s="3010" t="s">
        <v>3370</v>
      </c>
      <c r="C77" s="3010" t="s">
        <v>3435</v>
      </c>
      <c r="D77" s="3010"/>
      <c r="E77" s="3011">
        <v>59</v>
      </c>
      <c r="F77" s="3010" t="s">
        <v>3462</v>
      </c>
      <c r="G77" s="3012">
        <v>43428</v>
      </c>
      <c r="H77" s="3010">
        <v>420000</v>
      </c>
      <c r="I77" s="2998"/>
      <c r="L77">
        <v>45.51</v>
      </c>
      <c r="M77">
        <v>45.51</v>
      </c>
      <c r="O77">
        <v>45.51</v>
      </c>
      <c r="P77">
        <v>45.51</v>
      </c>
    </row>
    <row r="78" spans="1:16" ht="17.45" customHeight="1">
      <c r="A78" s="3057">
        <v>76</v>
      </c>
      <c r="B78" s="3010" t="s">
        <v>3370</v>
      </c>
      <c r="C78" s="3010" t="s">
        <v>3435</v>
      </c>
      <c r="D78" s="3010"/>
      <c r="E78" s="3011">
        <v>60</v>
      </c>
      <c r="F78" s="3010" t="s">
        <v>3463</v>
      </c>
      <c r="G78" s="3012">
        <v>43428</v>
      </c>
      <c r="H78" s="3010">
        <v>420000</v>
      </c>
      <c r="I78" s="2998"/>
      <c r="L78">
        <v>45.51</v>
      </c>
      <c r="M78">
        <v>45.51</v>
      </c>
      <c r="O78">
        <v>45.51</v>
      </c>
      <c r="P78">
        <v>45.51</v>
      </c>
    </row>
    <row r="79" spans="1:16">
      <c r="A79" s="3057">
        <v>77</v>
      </c>
      <c r="B79" s="3010" t="s">
        <v>3386</v>
      </c>
      <c r="C79" s="3010" t="s">
        <v>3435</v>
      </c>
      <c r="D79" s="3010"/>
      <c r="E79" s="3011">
        <v>133</v>
      </c>
      <c r="F79" s="3010" t="s">
        <v>3464</v>
      </c>
      <c r="G79" s="3012">
        <v>43428</v>
      </c>
      <c r="H79" s="3010">
        <v>420000</v>
      </c>
      <c r="I79" s="3019"/>
      <c r="L79">
        <v>45.51</v>
      </c>
      <c r="M79">
        <v>45.51</v>
      </c>
      <c r="O79">
        <v>45.51</v>
      </c>
      <c r="P79">
        <v>45.51</v>
      </c>
    </row>
    <row r="80" spans="1:16">
      <c r="A80" s="3057">
        <v>78</v>
      </c>
      <c r="B80" s="3010" t="s">
        <v>3386</v>
      </c>
      <c r="C80" s="3010" t="s">
        <v>3435</v>
      </c>
      <c r="D80" s="3020"/>
      <c r="E80" s="3011">
        <v>134</v>
      </c>
      <c r="F80" s="3021" t="s">
        <v>3465</v>
      </c>
      <c r="G80" s="3022">
        <v>43428</v>
      </c>
      <c r="H80" s="3021">
        <v>420000</v>
      </c>
      <c r="I80" s="2957"/>
      <c r="L80">
        <v>45.51</v>
      </c>
      <c r="M80">
        <v>45.51</v>
      </c>
      <c r="O80">
        <v>45.51</v>
      </c>
      <c r="P80">
        <v>45.51</v>
      </c>
    </row>
    <row r="81" spans="1:16">
      <c r="A81" s="3057">
        <v>79</v>
      </c>
      <c r="B81" s="3010" t="s">
        <v>3412</v>
      </c>
      <c r="C81" s="3010" t="s">
        <v>3435</v>
      </c>
      <c r="D81" s="3020"/>
      <c r="E81" s="3011">
        <v>291</v>
      </c>
      <c r="F81" s="3021" t="s">
        <v>3466</v>
      </c>
      <c r="G81" s="3022">
        <v>43452</v>
      </c>
      <c r="H81" s="3021">
        <v>420000</v>
      </c>
      <c r="I81" s="2957"/>
      <c r="L81">
        <v>45.51</v>
      </c>
      <c r="M81">
        <v>45.51</v>
      </c>
      <c r="O81">
        <v>45.51</v>
      </c>
      <c r="P81">
        <v>45.51</v>
      </c>
    </row>
    <row r="82" spans="1:16">
      <c r="A82" s="3057">
        <v>80</v>
      </c>
      <c r="B82" s="3010" t="s">
        <v>3412</v>
      </c>
      <c r="C82" s="3010" t="s">
        <v>3435</v>
      </c>
      <c r="D82" s="3020"/>
      <c r="E82" s="3011">
        <v>292</v>
      </c>
      <c r="F82" s="3021" t="s">
        <v>3467</v>
      </c>
      <c r="G82" s="3022">
        <v>43452</v>
      </c>
      <c r="H82" s="3021">
        <v>420000</v>
      </c>
      <c r="I82" s="2957"/>
      <c r="L82">
        <v>45.51</v>
      </c>
      <c r="M82">
        <v>45.51</v>
      </c>
      <c r="O82">
        <v>45.51</v>
      </c>
      <c r="P82">
        <v>45.51</v>
      </c>
    </row>
    <row r="83" spans="1:16">
      <c r="A83" s="3057">
        <v>81</v>
      </c>
      <c r="B83" s="3074" t="s">
        <v>3420</v>
      </c>
      <c r="C83" s="3010" t="s">
        <v>3435</v>
      </c>
      <c r="D83" s="3020"/>
      <c r="E83" s="3011">
        <v>345</v>
      </c>
      <c r="F83" s="3021" t="s">
        <v>3468</v>
      </c>
      <c r="G83" s="3022">
        <v>43453</v>
      </c>
      <c r="H83" s="3021">
        <v>420000</v>
      </c>
      <c r="I83" s="2957"/>
      <c r="L83">
        <v>45.51</v>
      </c>
      <c r="M83">
        <v>45.51</v>
      </c>
      <c r="O83">
        <v>45.51</v>
      </c>
      <c r="P83">
        <v>45.51</v>
      </c>
    </row>
    <row r="84" spans="1:16">
      <c r="A84" s="3057">
        <v>82</v>
      </c>
      <c r="B84" s="3074" t="s">
        <v>3420</v>
      </c>
      <c r="C84" s="3010" t="s">
        <v>3435</v>
      </c>
      <c r="D84" s="3020"/>
      <c r="E84" s="3011">
        <v>346</v>
      </c>
      <c r="F84" s="3021" t="s">
        <v>3469</v>
      </c>
      <c r="G84" s="3022">
        <v>43453</v>
      </c>
      <c r="H84" s="3021">
        <v>420000</v>
      </c>
      <c r="I84" s="2957"/>
      <c r="L84">
        <v>45.51</v>
      </c>
      <c r="M84">
        <v>45.51</v>
      </c>
      <c r="O84">
        <v>45.51</v>
      </c>
      <c r="P84">
        <v>45.51</v>
      </c>
    </row>
    <row r="85" spans="1:16">
      <c r="A85" s="3057">
        <v>83</v>
      </c>
      <c r="B85" s="3075" t="s">
        <v>3473</v>
      </c>
      <c r="C85" s="3065" t="s">
        <v>3557</v>
      </c>
      <c r="D85" s="3021"/>
      <c r="E85" s="3066" t="s">
        <v>3559</v>
      </c>
      <c r="F85" s="3021"/>
      <c r="G85" s="3022"/>
      <c r="H85" s="3021"/>
      <c r="I85" s="2957"/>
      <c r="L85">
        <v>45.51</v>
      </c>
      <c r="M85">
        <f>L85</f>
        <v>45.51</v>
      </c>
      <c r="O85">
        <v>45.51</v>
      </c>
      <c r="P85">
        <v>45.51</v>
      </c>
    </row>
    <row r="86" spans="1:16">
      <c r="A86" s="3057">
        <v>84</v>
      </c>
      <c r="B86" s="3075" t="s">
        <v>3555</v>
      </c>
      <c r="C86" s="3065" t="s">
        <v>3558</v>
      </c>
      <c r="D86" s="3021"/>
      <c r="E86" s="3066" t="s">
        <v>3560</v>
      </c>
      <c r="F86" s="3021"/>
      <c r="G86" s="3022"/>
      <c r="H86" s="3021"/>
      <c r="I86" s="2957"/>
      <c r="L86">
        <v>45.51</v>
      </c>
      <c r="M86">
        <f>L86</f>
        <v>45.51</v>
      </c>
      <c r="O86">
        <v>45.51</v>
      </c>
      <c r="P86">
        <v>45.51</v>
      </c>
    </row>
    <row r="87" spans="1:16">
      <c r="A87" s="3057">
        <v>85</v>
      </c>
      <c r="B87" s="3076" t="s">
        <v>3472</v>
      </c>
      <c r="C87" s="3068" t="s">
        <v>3558</v>
      </c>
      <c r="D87" s="3069" t="s">
        <v>3561</v>
      </c>
      <c r="E87" s="3069" t="s">
        <v>3561</v>
      </c>
      <c r="F87" s="3021"/>
      <c r="G87" s="3022"/>
      <c r="H87" s="3021"/>
      <c r="I87" s="2957"/>
      <c r="L87">
        <v>45.51</v>
      </c>
      <c r="M87">
        <v>45.51</v>
      </c>
      <c r="O87">
        <v>45.51</v>
      </c>
      <c r="P87">
        <v>45.51</v>
      </c>
    </row>
    <row r="88" spans="1:16">
      <c r="A88" s="3057">
        <v>86</v>
      </c>
      <c r="B88" s="3076" t="s">
        <v>3472</v>
      </c>
      <c r="C88" s="3068" t="s">
        <v>3435</v>
      </c>
      <c r="D88" s="3069" t="s">
        <v>3562</v>
      </c>
      <c r="E88" s="3069" t="s">
        <v>3562</v>
      </c>
      <c r="F88" s="3021"/>
      <c r="G88" s="3022"/>
      <c r="H88" s="3021"/>
      <c r="I88" s="2957"/>
      <c r="L88">
        <v>45.51</v>
      </c>
      <c r="M88">
        <v>45.51</v>
      </c>
      <c r="O88">
        <v>45.51</v>
      </c>
      <c r="P88">
        <v>45.51</v>
      </c>
    </row>
    <row r="89" spans="1:16">
      <c r="A89" s="3057">
        <v>87</v>
      </c>
      <c r="B89" s="3077" t="s">
        <v>3432</v>
      </c>
      <c r="C89" s="3068" t="s">
        <v>3435</v>
      </c>
      <c r="D89" s="3071"/>
      <c r="E89" s="3071" t="s">
        <v>3567</v>
      </c>
      <c r="F89" s="3021"/>
      <c r="G89" s="3022"/>
      <c r="H89" s="3021"/>
      <c r="I89" s="2957"/>
      <c r="L89">
        <f>L88</f>
        <v>45.51</v>
      </c>
      <c r="M89">
        <f>M88</f>
        <v>45.51</v>
      </c>
      <c r="O89">
        <v>45.51</v>
      </c>
      <c r="P89">
        <v>45.51</v>
      </c>
    </row>
    <row r="90" spans="1:16">
      <c r="A90" s="3057">
        <v>88</v>
      </c>
      <c r="B90" s="3075" t="s">
        <v>3432</v>
      </c>
      <c r="C90" s="3068" t="s">
        <v>3435</v>
      </c>
      <c r="D90" s="3021"/>
      <c r="E90" s="3023" t="s">
        <v>3568</v>
      </c>
      <c r="F90" s="3021"/>
      <c r="G90" s="3022"/>
      <c r="H90" s="3021"/>
      <c r="I90" s="2957"/>
      <c r="L90">
        <f>L88</f>
        <v>45.51</v>
      </c>
      <c r="M90">
        <f>M88</f>
        <v>45.51</v>
      </c>
      <c r="O90">
        <v>45.51</v>
      </c>
      <c r="P90">
        <v>45.51</v>
      </c>
    </row>
    <row r="91" spans="1:16">
      <c r="A91" s="3057">
        <v>89</v>
      </c>
      <c r="B91" s="3075" t="s">
        <v>3476</v>
      </c>
      <c r="C91" s="3068" t="s">
        <v>3435</v>
      </c>
      <c r="D91" s="3021"/>
      <c r="E91" s="3023" t="s">
        <v>3568</v>
      </c>
      <c r="F91" s="3021"/>
      <c r="G91" s="3022"/>
      <c r="H91" s="3021"/>
      <c r="I91" s="2957"/>
      <c r="L91">
        <f>L90</f>
        <v>45.51</v>
      </c>
      <c r="M91">
        <f t="shared" ref="M91:M98" si="1">M89</f>
        <v>45.51</v>
      </c>
      <c r="O91">
        <v>45.51</v>
      </c>
      <c r="P91">
        <v>45.51</v>
      </c>
    </row>
    <row r="92" spans="1:16">
      <c r="A92" s="3057">
        <v>90</v>
      </c>
      <c r="B92" s="3075" t="s">
        <v>3476</v>
      </c>
      <c r="C92" s="3068" t="s">
        <v>3435</v>
      </c>
      <c r="D92" s="3021"/>
      <c r="E92" s="3071" t="s">
        <v>3567</v>
      </c>
      <c r="F92" s="3021"/>
      <c r="G92" s="3022"/>
      <c r="H92" s="3021"/>
      <c r="I92" s="2957"/>
      <c r="L92">
        <f t="shared" ref="L92:L98" si="2">L91</f>
        <v>45.51</v>
      </c>
      <c r="M92">
        <f t="shared" si="1"/>
        <v>45.51</v>
      </c>
      <c r="O92">
        <v>45.51</v>
      </c>
      <c r="P92">
        <v>45.51</v>
      </c>
    </row>
    <row r="93" spans="1:16">
      <c r="A93" s="3057">
        <v>91</v>
      </c>
      <c r="B93" s="3075" t="s">
        <v>3479</v>
      </c>
      <c r="C93" s="3068" t="s">
        <v>3435</v>
      </c>
      <c r="D93" s="3021"/>
      <c r="E93" s="3023" t="s">
        <v>3568</v>
      </c>
      <c r="F93" s="3021"/>
      <c r="G93" s="3022"/>
      <c r="H93" s="3021"/>
      <c r="I93" s="2957"/>
      <c r="L93">
        <f t="shared" si="2"/>
        <v>45.51</v>
      </c>
      <c r="M93">
        <f t="shared" si="1"/>
        <v>45.51</v>
      </c>
      <c r="O93">
        <v>45.51</v>
      </c>
      <c r="P93">
        <v>45.51</v>
      </c>
    </row>
    <row r="94" spans="1:16">
      <c r="A94" s="3057">
        <v>92</v>
      </c>
      <c r="B94" s="3075" t="s">
        <v>3479</v>
      </c>
      <c r="C94" s="3068" t="s">
        <v>3435</v>
      </c>
      <c r="D94" s="3021"/>
      <c r="E94" s="3023" t="s">
        <v>3568</v>
      </c>
      <c r="F94" s="3021"/>
      <c r="G94" s="3022"/>
      <c r="H94" s="3021"/>
      <c r="I94" s="2957"/>
      <c r="L94">
        <f t="shared" si="2"/>
        <v>45.51</v>
      </c>
      <c r="M94">
        <f t="shared" si="1"/>
        <v>45.51</v>
      </c>
      <c r="O94">
        <v>45.51</v>
      </c>
      <c r="P94">
        <v>45.51</v>
      </c>
    </row>
    <row r="95" spans="1:16">
      <c r="A95" s="3057">
        <v>93</v>
      </c>
      <c r="B95" s="3078" t="s">
        <v>3566</v>
      </c>
      <c r="C95" s="3068" t="s">
        <v>3435</v>
      </c>
      <c r="D95" s="3021"/>
      <c r="E95" s="3071" t="s">
        <v>3567</v>
      </c>
      <c r="F95" s="3021"/>
      <c r="G95" s="3022"/>
      <c r="H95" s="3021"/>
      <c r="I95" s="2957"/>
      <c r="L95">
        <f t="shared" si="2"/>
        <v>45.51</v>
      </c>
      <c r="M95">
        <f t="shared" si="1"/>
        <v>45.51</v>
      </c>
      <c r="O95">
        <v>45.51</v>
      </c>
      <c r="P95">
        <v>45.51</v>
      </c>
    </row>
    <row r="96" spans="1:16">
      <c r="A96" s="3057">
        <v>94</v>
      </c>
      <c r="B96" s="3078" t="s">
        <v>3566</v>
      </c>
      <c r="C96" s="3068" t="s">
        <v>3435</v>
      </c>
      <c r="D96" s="3021"/>
      <c r="E96" s="3023" t="s">
        <v>3568</v>
      </c>
      <c r="F96" s="3021"/>
      <c r="G96" s="3022"/>
      <c r="H96" s="3021"/>
      <c r="I96" s="2957"/>
      <c r="L96">
        <f t="shared" si="2"/>
        <v>45.51</v>
      </c>
      <c r="M96">
        <f t="shared" si="1"/>
        <v>45.51</v>
      </c>
      <c r="O96">
        <v>45.51</v>
      </c>
      <c r="P96">
        <v>45.51</v>
      </c>
    </row>
    <row r="97" spans="1:19">
      <c r="A97" s="3057">
        <v>95</v>
      </c>
      <c r="B97" s="3079" t="s">
        <v>3482</v>
      </c>
      <c r="C97" s="3068" t="s">
        <v>3435</v>
      </c>
      <c r="D97" s="3021"/>
      <c r="E97" s="3023" t="s">
        <v>3568</v>
      </c>
      <c r="F97" s="3021"/>
      <c r="G97" s="3022"/>
      <c r="H97" s="3021"/>
      <c r="I97" s="2957"/>
      <c r="L97">
        <f t="shared" si="2"/>
        <v>45.51</v>
      </c>
      <c r="M97">
        <f t="shared" si="1"/>
        <v>45.51</v>
      </c>
      <c r="O97">
        <v>45.51</v>
      </c>
      <c r="P97">
        <v>45.51</v>
      </c>
    </row>
    <row r="98" spans="1:19">
      <c r="A98" s="3057">
        <v>96</v>
      </c>
      <c r="B98" s="3079" t="s">
        <v>3482</v>
      </c>
      <c r="C98" s="3068" t="s">
        <v>3435</v>
      </c>
      <c r="D98" s="3021"/>
      <c r="E98" s="3023" t="s">
        <v>3568</v>
      </c>
      <c r="F98" s="3021"/>
      <c r="G98" s="3022"/>
      <c r="H98" s="3021"/>
      <c r="I98" s="2957"/>
      <c r="L98">
        <f t="shared" si="2"/>
        <v>45.51</v>
      </c>
      <c r="M98">
        <f t="shared" si="1"/>
        <v>45.51</v>
      </c>
      <c r="O98">
        <v>45.51</v>
      </c>
      <c r="P98">
        <v>45.51</v>
      </c>
    </row>
    <row r="99" spans="1:19">
      <c r="A99" s="2957"/>
      <c r="D99" s="3021"/>
      <c r="E99" s="3023"/>
      <c r="F99" s="3021"/>
      <c r="G99" s="3022"/>
      <c r="H99" s="3021"/>
      <c r="I99" s="2957"/>
      <c r="P99">
        <f>SUM(P51:P98)</f>
        <v>2184.4800000000005</v>
      </c>
    </row>
    <row r="100" spans="1:19">
      <c r="A100" s="2957"/>
      <c r="C100" s="3070"/>
      <c r="D100" s="3021"/>
      <c r="E100" s="3023"/>
      <c r="F100" s="3021"/>
      <c r="G100" s="3022"/>
      <c r="H100" s="3021"/>
      <c r="I100" s="2957"/>
      <c r="P100">
        <f>P99+P50</f>
        <v>9676.5300000000025</v>
      </c>
    </row>
    <row r="101" spans="1:19">
      <c r="A101" s="2957"/>
      <c r="C101" s="3021"/>
      <c r="D101" s="3021"/>
      <c r="E101" s="3023"/>
      <c r="F101" s="3021"/>
      <c r="G101" s="3022"/>
      <c r="H101" s="3021"/>
      <c r="I101" s="2957"/>
    </row>
    <row r="102" spans="1:19">
      <c r="J102" t="s">
        <v>3076</v>
      </c>
      <c r="K102" t="s">
        <v>3184</v>
      </c>
      <c r="L102" t="s">
        <v>3158</v>
      </c>
      <c r="M102" t="s">
        <v>37</v>
      </c>
      <c r="N102" t="s">
        <v>3074</v>
      </c>
      <c r="O102" t="s">
        <v>3075</v>
      </c>
      <c r="P102" t="s">
        <v>37</v>
      </c>
    </row>
    <row r="103" spans="1:19">
      <c r="I103" s="2952" t="s">
        <v>3488</v>
      </c>
      <c r="J103">
        <v>3298.6599999999994</v>
      </c>
      <c r="K103">
        <v>3608.2299999999991</v>
      </c>
      <c r="M103">
        <v>6906.8900000000012</v>
      </c>
      <c r="N103">
        <v>2684.0300000000007</v>
      </c>
      <c r="O103">
        <v>4222.8599999999988</v>
      </c>
      <c r="P103">
        <v>6906.8900000000012</v>
      </c>
      <c r="Q103" t="s">
        <v>3484</v>
      </c>
      <c r="R103">
        <v>30450.240099999995</v>
      </c>
    </row>
    <row r="104" spans="1:19">
      <c r="I104" s="2952" t="s">
        <v>3487</v>
      </c>
      <c r="J104" s="2997">
        <f>N50</f>
        <v>2684.0300000000007</v>
      </c>
      <c r="K104" s="2997">
        <f>O50</f>
        <v>4808.0199999999995</v>
      </c>
      <c r="L104" s="2997">
        <f>SUM(L51:L98)</f>
        <v>2184.4800000000005</v>
      </c>
      <c r="M104" s="2997">
        <f>SUM(J104:L104)</f>
        <v>9676.5300000000007</v>
      </c>
      <c r="Q104" t="s">
        <v>3485</v>
      </c>
      <c r="R104">
        <v>30875.870969999993</v>
      </c>
      <c r="S104">
        <v>-425.63086999999723</v>
      </c>
    </row>
    <row r="105" spans="1:19">
      <c r="Q105" s="2996" t="s">
        <v>3486</v>
      </c>
      <c r="R105">
        <v>29016.369368</v>
      </c>
      <c r="S105">
        <v>1433.8707319999958</v>
      </c>
    </row>
    <row r="106" spans="1:19">
      <c r="R106">
        <v>24757.755819999998</v>
      </c>
    </row>
    <row r="108" spans="1:19">
      <c r="G108">
        <f>P11+L87+L88+L86+L85</f>
        <v>265.65999999999997</v>
      </c>
    </row>
    <row r="114" spans="9:9">
      <c r="I114">
        <v>8977.77</v>
      </c>
    </row>
  </sheetData>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topLeftCell="M46" workbookViewId="0">
      <selection activeCell="R56" sqref="R56:W56"/>
    </sheetView>
  </sheetViews>
  <sheetFormatPr defaultRowHeight="12"/>
  <cols>
    <col min="1" max="1" width="42.125" style="2975" customWidth="1"/>
    <col min="2" max="6" width="9" style="2975"/>
    <col min="7" max="7" width="4.875" style="2975" customWidth="1"/>
    <col min="8" max="8" width="11" style="2975" customWidth="1"/>
    <col min="9" max="12" width="9" style="2975"/>
    <col min="13" max="13" width="33.625" style="2975" customWidth="1"/>
    <col min="14" max="14" width="9" style="2975"/>
    <col min="15" max="15" width="10" style="2975" bestFit="1" customWidth="1"/>
    <col min="16" max="17" width="9" style="2975"/>
    <col min="18" max="23" width="12.625" style="2975" customWidth="1"/>
    <col min="24" max="16384" width="9" style="2975"/>
  </cols>
  <sheetData>
    <row r="1" spans="1:20" s="2970" customFormat="1" ht="24">
      <c r="A1" s="2969" t="s">
        <v>3223</v>
      </c>
      <c r="B1" s="2969" t="s">
        <v>3224</v>
      </c>
      <c r="C1" s="2969" t="s">
        <v>3225</v>
      </c>
      <c r="D1" s="2969" t="s">
        <v>3226</v>
      </c>
      <c r="E1" s="2969" t="s">
        <v>3227</v>
      </c>
      <c r="F1" s="2969" t="s">
        <v>3228</v>
      </c>
      <c r="G1" s="2969" t="s">
        <v>3229</v>
      </c>
      <c r="H1" s="2969" t="s">
        <v>3230</v>
      </c>
      <c r="I1" s="2969" t="s">
        <v>3231</v>
      </c>
      <c r="J1" s="2969" t="s">
        <v>3232</v>
      </c>
      <c r="K1" s="2969" t="s">
        <v>3233</v>
      </c>
      <c r="L1" s="2969" t="s">
        <v>3234</v>
      </c>
      <c r="M1" s="2969" t="s">
        <v>3235</v>
      </c>
      <c r="N1" s="2970" t="s">
        <v>3236</v>
      </c>
    </row>
    <row r="2" spans="1:20" s="2973" customFormat="1" ht="24">
      <c r="A2" s="2971" t="s">
        <v>3237</v>
      </c>
      <c r="B2" s="2971" t="s">
        <v>3041</v>
      </c>
      <c r="C2" s="2971" t="s">
        <v>3238</v>
      </c>
      <c r="D2" s="2971">
        <v>36365.370000000003</v>
      </c>
      <c r="E2" s="2971">
        <v>65458</v>
      </c>
      <c r="F2" s="2971">
        <v>1.8</v>
      </c>
      <c r="G2" s="2971" t="s">
        <v>3239</v>
      </c>
      <c r="H2" s="2971" t="s">
        <v>3240</v>
      </c>
      <c r="I2" s="2971">
        <v>180000</v>
      </c>
      <c r="J2" s="2971">
        <v>260000</v>
      </c>
      <c r="K2" s="2971">
        <v>39720.120000000003</v>
      </c>
      <c r="L2" s="2971">
        <v>44.44</v>
      </c>
      <c r="M2" s="2971" t="s">
        <v>3241</v>
      </c>
      <c r="N2" s="2972">
        <v>0</v>
      </c>
    </row>
    <row r="3" spans="1:20" s="2973" customFormat="1" ht="24">
      <c r="A3" s="2971" t="s">
        <v>3242</v>
      </c>
      <c r="B3" s="2971" t="s">
        <v>3041</v>
      </c>
      <c r="C3" s="2971" t="s">
        <v>3243</v>
      </c>
      <c r="D3" s="2971">
        <v>151738.6</v>
      </c>
      <c r="E3" s="2971">
        <v>152374</v>
      </c>
      <c r="F3" s="2971">
        <v>1.004</v>
      </c>
      <c r="G3" s="2971" t="s">
        <v>3239</v>
      </c>
      <c r="H3" s="2971" t="s">
        <v>3244</v>
      </c>
      <c r="I3" s="2971">
        <v>460000</v>
      </c>
      <c r="J3" s="2971">
        <v>685400</v>
      </c>
      <c r="K3" s="2971">
        <v>44981.43</v>
      </c>
      <c r="L3" s="2971">
        <v>49</v>
      </c>
      <c r="M3" s="2971" t="s">
        <v>3245</v>
      </c>
      <c r="N3" s="2972">
        <v>0.16</v>
      </c>
    </row>
    <row r="4" spans="1:20" ht="24">
      <c r="A4" s="2974" t="s">
        <v>3246</v>
      </c>
      <c r="B4" s="2974" t="s">
        <v>3041</v>
      </c>
      <c r="C4" s="2974" t="s">
        <v>3243</v>
      </c>
      <c r="D4" s="2974">
        <v>132352.79999999999</v>
      </c>
      <c r="E4" s="2974">
        <v>201775</v>
      </c>
      <c r="F4" s="2974">
        <v>1.52</v>
      </c>
      <c r="G4" s="2974" t="s">
        <v>3239</v>
      </c>
      <c r="H4" s="2974" t="s">
        <v>3247</v>
      </c>
      <c r="I4" s="2974">
        <v>365000</v>
      </c>
      <c r="J4" s="2974">
        <v>380000</v>
      </c>
      <c r="K4" s="2974">
        <v>18832.86</v>
      </c>
      <c r="L4" s="2974">
        <v>4.1100000000000003</v>
      </c>
      <c r="M4" s="2974" t="s">
        <v>3248</v>
      </c>
    </row>
    <row r="5" spans="1:20" s="2973" customFormat="1" ht="36">
      <c r="A5" s="2971" t="s">
        <v>3249</v>
      </c>
      <c r="B5" s="2971" t="s">
        <v>3041</v>
      </c>
      <c r="C5" s="2971" t="s">
        <v>3243</v>
      </c>
      <c r="D5" s="2971">
        <v>65602.95</v>
      </c>
      <c r="E5" s="2971">
        <v>120165</v>
      </c>
      <c r="F5" s="2971">
        <v>1.83</v>
      </c>
      <c r="G5" s="2971" t="s">
        <v>3239</v>
      </c>
      <c r="H5" s="2971" t="s">
        <v>3250</v>
      </c>
      <c r="I5" s="2971">
        <v>330000</v>
      </c>
      <c r="J5" s="2971">
        <v>495000</v>
      </c>
      <c r="K5" s="2971">
        <v>41193.360000000001</v>
      </c>
      <c r="L5" s="2971">
        <v>50</v>
      </c>
      <c r="M5" s="2971" t="s">
        <v>3251</v>
      </c>
      <c r="N5" s="2972">
        <v>0.12</v>
      </c>
    </row>
    <row r="6" spans="1:20" ht="24">
      <c r="A6" s="2974" t="s">
        <v>3252</v>
      </c>
      <c r="B6" s="2974" t="s">
        <v>3041</v>
      </c>
      <c r="C6" s="2974" t="s">
        <v>3243</v>
      </c>
      <c r="D6" s="2974">
        <v>151051.70000000001</v>
      </c>
      <c r="E6" s="2974">
        <v>274253</v>
      </c>
      <c r="F6" s="2974" t="s">
        <v>3253</v>
      </c>
      <c r="G6" s="2974" t="s">
        <v>3239</v>
      </c>
      <c r="H6" s="2974" t="s">
        <v>3254</v>
      </c>
      <c r="I6" s="2974">
        <v>385000</v>
      </c>
      <c r="J6" s="2974">
        <v>502000</v>
      </c>
      <c r="K6" s="2974">
        <v>18304.27</v>
      </c>
      <c r="L6" s="2974">
        <v>30.39</v>
      </c>
      <c r="M6" s="2974" t="s">
        <v>3245</v>
      </c>
    </row>
    <row r="7" spans="1:20" s="2978" customFormat="1" ht="36">
      <c r="A7" s="2976" t="s">
        <v>3255</v>
      </c>
      <c r="B7" s="2976" t="s">
        <v>3041</v>
      </c>
      <c r="C7" s="2976" t="s">
        <v>3238</v>
      </c>
      <c r="D7" s="2976">
        <v>155132.79999999999</v>
      </c>
      <c r="E7" s="2976">
        <v>156684</v>
      </c>
      <c r="F7" s="2976">
        <v>1.009999305</v>
      </c>
      <c r="G7" s="2976" t="s">
        <v>3239</v>
      </c>
      <c r="H7" s="2976" t="s">
        <v>3256</v>
      </c>
      <c r="I7" s="2976">
        <v>470000</v>
      </c>
      <c r="J7" s="2976">
        <v>705000</v>
      </c>
      <c r="K7" s="2976">
        <v>44995.01</v>
      </c>
      <c r="L7" s="2976">
        <v>50</v>
      </c>
      <c r="M7" s="2976" t="s">
        <v>3257</v>
      </c>
      <c r="N7" s="2977">
        <v>0.36</v>
      </c>
      <c r="O7" s="3173" t="s">
        <v>3258</v>
      </c>
      <c r="P7" s="3173"/>
      <c r="Q7" s="3173"/>
      <c r="R7" s="3173"/>
      <c r="S7" s="3173"/>
      <c r="T7" s="3173"/>
    </row>
    <row r="8" spans="1:20">
      <c r="A8" s="2974" t="s">
        <v>3259</v>
      </c>
      <c r="B8" s="2974" t="s">
        <v>3041</v>
      </c>
      <c r="C8" s="2974" t="s">
        <v>3238</v>
      </c>
      <c r="D8" s="2974">
        <v>41170.230000000003</v>
      </c>
      <c r="E8" s="2974">
        <v>60109</v>
      </c>
      <c r="F8" s="2974">
        <v>1.46</v>
      </c>
      <c r="G8" s="2974" t="s">
        <v>3239</v>
      </c>
      <c r="H8" s="2974" t="s">
        <v>3260</v>
      </c>
      <c r="I8" s="2974">
        <v>88000</v>
      </c>
      <c r="J8" s="2974">
        <v>121000</v>
      </c>
      <c r="K8" s="2974">
        <v>20130.09</v>
      </c>
      <c r="L8" s="2974">
        <v>37.5</v>
      </c>
      <c r="M8" s="2974" t="s">
        <v>3261</v>
      </c>
    </row>
    <row r="9" spans="1:20" ht="24">
      <c r="A9" s="2974" t="s">
        <v>3262</v>
      </c>
      <c r="B9" s="2974" t="s">
        <v>3041</v>
      </c>
      <c r="C9" s="2974" t="s">
        <v>3238</v>
      </c>
      <c r="D9" s="2974">
        <v>45104.74</v>
      </c>
      <c r="E9" s="2974">
        <v>112093</v>
      </c>
      <c r="F9" s="2974">
        <v>2.5</v>
      </c>
      <c r="G9" s="2974" t="s">
        <v>3239</v>
      </c>
      <c r="H9" s="2974" t="s">
        <v>3260</v>
      </c>
      <c r="I9" s="2974">
        <v>130000</v>
      </c>
      <c r="J9" s="2974">
        <v>193000</v>
      </c>
      <c r="K9" s="2974">
        <v>17217.84</v>
      </c>
      <c r="L9" s="2974">
        <v>48.46</v>
      </c>
      <c r="M9" s="2974" t="s">
        <v>3263</v>
      </c>
    </row>
    <row r="10" spans="1:20" ht="24">
      <c r="A10" s="2974" t="s">
        <v>3264</v>
      </c>
      <c r="B10" s="2974" t="s">
        <v>3041</v>
      </c>
      <c r="C10" s="2974" t="s">
        <v>3243</v>
      </c>
      <c r="D10" s="2974">
        <v>17756.68</v>
      </c>
      <c r="E10" s="2974">
        <v>39065</v>
      </c>
      <c r="F10" s="2974">
        <v>2.2000000000000002</v>
      </c>
      <c r="G10" s="2974" t="s">
        <v>3239</v>
      </c>
      <c r="H10" s="2974" t="s">
        <v>3265</v>
      </c>
      <c r="I10" s="2974">
        <v>50000</v>
      </c>
      <c r="J10" s="2974">
        <v>75000</v>
      </c>
      <c r="K10" s="2974">
        <v>19198.77</v>
      </c>
      <c r="L10" s="2974">
        <v>50</v>
      </c>
      <c r="M10" s="2974" t="s">
        <v>3266</v>
      </c>
    </row>
    <row r="11" spans="1:20" ht="24">
      <c r="A11" s="2974" t="s">
        <v>3267</v>
      </c>
      <c r="B11" s="2974" t="s">
        <v>3041</v>
      </c>
      <c r="C11" s="2974" t="s">
        <v>3243</v>
      </c>
      <c r="D11" s="2974">
        <v>74844.53</v>
      </c>
      <c r="E11" s="2974">
        <v>134689</v>
      </c>
      <c r="F11" s="2974">
        <v>1.8</v>
      </c>
      <c r="G11" s="2974" t="s">
        <v>3239</v>
      </c>
      <c r="H11" s="2974" t="s">
        <v>3268</v>
      </c>
      <c r="I11" s="2974">
        <v>87100</v>
      </c>
      <c r="J11" s="2974">
        <v>126000</v>
      </c>
      <c r="K11" s="2974">
        <v>9354.8700000000008</v>
      </c>
      <c r="L11" s="2974">
        <v>44.66</v>
      </c>
      <c r="M11" s="2974" t="s">
        <v>3269</v>
      </c>
    </row>
    <row r="12" spans="1:20">
      <c r="A12" s="2974" t="s">
        <v>3270</v>
      </c>
      <c r="B12" s="2974" t="s">
        <v>3041</v>
      </c>
      <c r="C12" s="2974" t="s">
        <v>3238</v>
      </c>
      <c r="D12" s="2974">
        <v>118126.9</v>
      </c>
      <c r="E12" s="2974">
        <v>208824</v>
      </c>
      <c r="F12" s="2974">
        <v>1.77</v>
      </c>
      <c r="G12" s="2974" t="s">
        <v>3239</v>
      </c>
      <c r="H12" s="2974" t="s">
        <v>3271</v>
      </c>
      <c r="I12" s="2974">
        <v>176500</v>
      </c>
      <c r="J12" s="2974">
        <v>264750</v>
      </c>
      <c r="K12" s="2974">
        <v>12678.13</v>
      </c>
      <c r="L12" s="2974">
        <v>50</v>
      </c>
      <c r="M12" s="2974" t="s">
        <v>3272</v>
      </c>
    </row>
    <row r="13" spans="1:20" ht="24">
      <c r="A13" s="2974" t="s">
        <v>3273</v>
      </c>
      <c r="B13" s="2974" t="s">
        <v>3041</v>
      </c>
      <c r="C13" s="2974" t="s">
        <v>3243</v>
      </c>
      <c r="D13" s="2974">
        <v>139657.29999999999</v>
      </c>
      <c r="E13" s="2974">
        <v>204355</v>
      </c>
      <c r="F13" s="2974">
        <v>1.46</v>
      </c>
      <c r="G13" s="2974" t="s">
        <v>3239</v>
      </c>
      <c r="H13" s="2974" t="s">
        <v>3271</v>
      </c>
      <c r="I13" s="2974">
        <v>156100</v>
      </c>
      <c r="J13" s="2974">
        <v>234150</v>
      </c>
      <c r="K13" s="2974">
        <v>11458</v>
      </c>
      <c r="L13" s="2974">
        <v>50</v>
      </c>
      <c r="M13" s="2974" t="s">
        <v>3272</v>
      </c>
    </row>
    <row r="14" spans="1:20" ht="24">
      <c r="A14" s="2974" t="s">
        <v>3274</v>
      </c>
      <c r="B14" s="2974" t="s">
        <v>3041</v>
      </c>
      <c r="C14" s="2974" t="s">
        <v>3243</v>
      </c>
      <c r="D14" s="2974">
        <v>79821.14</v>
      </c>
      <c r="E14" s="2974">
        <v>142412</v>
      </c>
      <c r="F14" s="2974">
        <v>1.78</v>
      </c>
      <c r="G14" s="2974" t="s">
        <v>3239</v>
      </c>
      <c r="H14" s="2974" t="s">
        <v>3275</v>
      </c>
      <c r="I14" s="2974">
        <v>142300</v>
      </c>
      <c r="J14" s="2974">
        <v>185000</v>
      </c>
      <c r="K14" s="2974">
        <v>12990.47</v>
      </c>
      <c r="L14" s="2974">
        <v>30.01</v>
      </c>
      <c r="M14" s="2974" t="s">
        <v>3276</v>
      </c>
    </row>
    <row r="15" spans="1:20" ht="24">
      <c r="A15" s="2974" t="s">
        <v>3277</v>
      </c>
      <c r="B15" s="2974" t="s">
        <v>3041</v>
      </c>
      <c r="C15" s="2974" t="s">
        <v>3243</v>
      </c>
      <c r="D15" s="2974">
        <v>85055.53</v>
      </c>
      <c r="E15" s="2974">
        <v>127584</v>
      </c>
      <c r="F15" s="2974">
        <v>1.5</v>
      </c>
      <c r="G15" s="2974" t="s">
        <v>3239</v>
      </c>
      <c r="H15" s="2974" t="s">
        <v>3278</v>
      </c>
      <c r="I15" s="2974">
        <v>46000</v>
      </c>
      <c r="J15" s="2974">
        <v>59800</v>
      </c>
      <c r="K15" s="2974">
        <v>4687.1000000000004</v>
      </c>
      <c r="L15" s="2974">
        <v>30</v>
      </c>
      <c r="M15" s="2974" t="s">
        <v>3279</v>
      </c>
    </row>
    <row r="16" spans="1:20" ht="24">
      <c r="A16" s="2974" t="s">
        <v>3280</v>
      </c>
      <c r="B16" s="2974" t="s">
        <v>3041</v>
      </c>
      <c r="C16" s="2974" t="s">
        <v>3238</v>
      </c>
      <c r="D16" s="2974">
        <v>49068.83</v>
      </c>
      <c r="E16" s="2974">
        <v>137393</v>
      </c>
      <c r="F16" s="2974">
        <v>2.8</v>
      </c>
      <c r="G16" s="2974" t="s">
        <v>3239</v>
      </c>
      <c r="H16" s="2974" t="s">
        <v>3281</v>
      </c>
      <c r="I16" s="2974">
        <v>83000</v>
      </c>
      <c r="J16" s="2974">
        <v>115000</v>
      </c>
      <c r="K16" s="2974">
        <v>8370.14</v>
      </c>
      <c r="L16" s="2974">
        <v>38.549999999999997</v>
      </c>
      <c r="M16" s="2974" t="s">
        <v>3282</v>
      </c>
    </row>
    <row r="19" spans="14:20" ht="12.75" thickBot="1"/>
    <row r="20" spans="14:20" ht="24.75" customHeight="1" thickBot="1">
      <c r="N20" s="3174" t="s">
        <v>3493</v>
      </c>
      <c r="O20" s="3177" t="s">
        <v>3494</v>
      </c>
      <c r="P20" s="3177" t="s">
        <v>3495</v>
      </c>
      <c r="Q20" s="3179" t="s">
        <v>3496</v>
      </c>
      <c r="R20" s="3180"/>
      <c r="S20" s="3181"/>
      <c r="T20" s="3182" t="s">
        <v>3497</v>
      </c>
    </row>
    <row r="21" spans="14:20" ht="13.5" thickBot="1">
      <c r="N21" s="3175"/>
      <c r="O21" s="3178"/>
      <c r="P21" s="3178"/>
      <c r="Q21" s="3037" t="s">
        <v>37</v>
      </c>
      <c r="R21" s="3038" t="s">
        <v>3074</v>
      </c>
      <c r="S21" s="3038" t="s">
        <v>3075</v>
      </c>
      <c r="T21" s="3183"/>
    </row>
    <row r="22" spans="14:20" ht="13.5" thickBot="1">
      <c r="N22" s="3175"/>
      <c r="O22" s="3168" t="s">
        <v>3498</v>
      </c>
      <c r="P22" s="3039" t="s">
        <v>3052</v>
      </c>
      <c r="Q22" s="3040">
        <v>44026.81</v>
      </c>
      <c r="R22" s="3040">
        <v>44026.81</v>
      </c>
      <c r="S22" s="3040">
        <v>0</v>
      </c>
      <c r="T22" s="3186"/>
    </row>
    <row r="23" spans="14:20" ht="13.5" thickBot="1">
      <c r="N23" s="3175"/>
      <c r="O23" s="3184"/>
      <c r="P23" s="3039" t="s">
        <v>3214</v>
      </c>
      <c r="Q23" s="3040">
        <v>10848.24</v>
      </c>
      <c r="R23" s="3040">
        <v>10848.24</v>
      </c>
      <c r="S23" s="3040">
        <v>0</v>
      </c>
      <c r="T23" s="3187"/>
    </row>
    <row r="24" spans="14:20" ht="13.5" thickBot="1">
      <c r="N24" s="3175"/>
      <c r="O24" s="3184"/>
      <c r="P24" s="3039" t="s">
        <v>3175</v>
      </c>
      <c r="Q24" s="3040">
        <v>31676.1</v>
      </c>
      <c r="R24" s="3040">
        <v>31676.1</v>
      </c>
      <c r="S24" s="3040">
        <v>0</v>
      </c>
      <c r="T24" s="3187"/>
    </row>
    <row r="25" spans="14:20" ht="13.5" thickBot="1">
      <c r="N25" s="3175"/>
      <c r="O25" s="3184"/>
      <c r="P25" s="3039" t="s">
        <v>1373</v>
      </c>
      <c r="Q25" s="3040">
        <v>480</v>
      </c>
      <c r="R25" s="3040">
        <v>250</v>
      </c>
      <c r="S25" s="3040">
        <v>230</v>
      </c>
      <c r="T25" s="3187"/>
    </row>
    <row r="26" spans="14:20" ht="13.5" thickBot="1">
      <c r="N26" s="3175"/>
      <c r="O26" s="3184"/>
      <c r="P26" s="3039" t="s">
        <v>48</v>
      </c>
      <c r="Q26" s="3058">
        <v>36043.919999999998</v>
      </c>
      <c r="R26" s="3040">
        <v>0</v>
      </c>
      <c r="S26" s="3040">
        <v>36043.919999999998</v>
      </c>
      <c r="T26" s="3187"/>
    </row>
    <row r="27" spans="14:20" ht="13.5" thickBot="1">
      <c r="N27" s="3175"/>
      <c r="O27" s="3184"/>
      <c r="P27" s="3039" t="s">
        <v>3499</v>
      </c>
      <c r="Q27" s="3058">
        <v>10172.129999999999</v>
      </c>
      <c r="R27" s="3040">
        <v>0</v>
      </c>
      <c r="S27" s="3040">
        <v>10172.129999999999</v>
      </c>
      <c r="T27" s="3187"/>
    </row>
    <row r="28" spans="14:20" ht="13.5" thickBot="1">
      <c r="N28" s="3175"/>
      <c r="O28" s="3185"/>
      <c r="P28" s="3039" t="s">
        <v>3215</v>
      </c>
      <c r="Q28" s="3058">
        <v>79252.239999999991</v>
      </c>
      <c r="R28" s="3040">
        <v>0</v>
      </c>
      <c r="S28" s="3040">
        <v>79252.239999999991</v>
      </c>
      <c r="T28" s="3187"/>
    </row>
    <row r="29" spans="14:20" ht="13.5" thickBot="1">
      <c r="N29" s="3175"/>
      <c r="O29" s="3189" t="s">
        <v>3500</v>
      </c>
      <c r="P29" s="3190"/>
      <c r="Q29" s="3040">
        <f>SUM(Q22:Q28)</f>
        <v>212499.43999999997</v>
      </c>
      <c r="R29" s="3040">
        <f t="shared" ref="R29:S29" si="0">SUM(R22:R28)</f>
        <v>86801.15</v>
      </c>
      <c r="S29" s="3040">
        <f t="shared" si="0"/>
        <v>125698.28999999998</v>
      </c>
      <c r="T29" s="3187"/>
    </row>
    <row r="30" spans="14:20" ht="13.5" thickBot="1">
      <c r="N30" s="3175"/>
      <c r="O30" s="3168" t="s">
        <v>3501</v>
      </c>
      <c r="P30" s="3039" t="s">
        <v>3502</v>
      </c>
      <c r="Q30" s="3040">
        <v>4741.9399999999996</v>
      </c>
      <c r="R30" s="3040">
        <v>168</v>
      </c>
      <c r="S30" s="3040">
        <v>4573.9399999999996</v>
      </c>
      <c r="T30" s="3187"/>
    </row>
    <row r="31" spans="14:20" ht="13.5" thickBot="1">
      <c r="N31" s="3175"/>
      <c r="O31" s="3185"/>
      <c r="P31" s="3039" t="s">
        <v>3503</v>
      </c>
      <c r="Q31" s="3040">
        <v>1920</v>
      </c>
      <c r="R31" s="3040">
        <v>1870</v>
      </c>
      <c r="S31" s="3040">
        <v>50</v>
      </c>
      <c r="T31" s="3187"/>
    </row>
    <row r="32" spans="14:20" ht="13.5" thickBot="1">
      <c r="N32" s="3175"/>
      <c r="O32" s="3189" t="s">
        <v>3504</v>
      </c>
      <c r="P32" s="3190"/>
      <c r="Q32" s="3040">
        <f>SUM(Q30:Q31)</f>
        <v>6661.94</v>
      </c>
      <c r="R32" s="3040">
        <f t="shared" ref="R32:S32" si="1">SUM(R30:R31)</f>
        <v>2038</v>
      </c>
      <c r="S32" s="3040">
        <f t="shared" si="1"/>
        <v>4623.9399999999996</v>
      </c>
      <c r="T32" s="3187"/>
    </row>
    <row r="33" spans="14:20" ht="13.5" thickBot="1">
      <c r="N33" s="3176"/>
      <c r="O33" s="3191" t="s">
        <v>3505</v>
      </c>
      <c r="P33" s="3192"/>
      <c r="Q33" s="3041">
        <v>219161.38</v>
      </c>
      <c r="R33" s="3041">
        <v>88839.15</v>
      </c>
      <c r="S33" s="3041">
        <v>130322.22999999998</v>
      </c>
      <c r="T33" s="3188"/>
    </row>
    <row r="34" spans="14:20" ht="13.5" thickBot="1">
      <c r="N34" s="3174" t="s">
        <v>3506</v>
      </c>
      <c r="O34" s="3168" t="s">
        <v>3498</v>
      </c>
      <c r="P34" s="3039" t="s">
        <v>3052</v>
      </c>
      <c r="Q34" s="3040">
        <v>37366.44</v>
      </c>
      <c r="R34" s="3040">
        <v>37366.44</v>
      </c>
      <c r="S34" s="3040">
        <v>0</v>
      </c>
      <c r="T34" s="3186">
        <v>0</v>
      </c>
    </row>
    <row r="35" spans="14:20" ht="13.5" thickBot="1">
      <c r="N35" s="3175"/>
      <c r="O35" s="3184"/>
      <c r="P35" s="3039" t="s">
        <v>3214</v>
      </c>
      <c r="Q35" s="3040">
        <v>3473.18</v>
      </c>
      <c r="R35" s="3040">
        <v>3473.18</v>
      </c>
      <c r="S35" s="3040">
        <v>0</v>
      </c>
      <c r="T35" s="3187"/>
    </row>
    <row r="36" spans="14:20" ht="13.5" thickBot="1">
      <c r="N36" s="3175"/>
      <c r="O36" s="3184"/>
      <c r="P36" s="3039" t="s">
        <v>3175</v>
      </c>
      <c r="Q36" s="3040">
        <v>23770.38</v>
      </c>
      <c r="R36" s="3040">
        <v>23770.38</v>
      </c>
      <c r="S36" s="3040">
        <v>0</v>
      </c>
      <c r="T36" s="3187"/>
    </row>
    <row r="37" spans="14:20" ht="13.5" thickBot="1">
      <c r="N37" s="3175"/>
      <c r="O37" s="3184"/>
      <c r="P37" s="3039" t="s">
        <v>48</v>
      </c>
      <c r="Q37" s="3040">
        <v>26123.5</v>
      </c>
      <c r="R37" s="3040">
        <v>0</v>
      </c>
      <c r="S37" s="3040">
        <v>26123.5</v>
      </c>
      <c r="T37" s="3187"/>
    </row>
    <row r="38" spans="14:20" ht="13.5" thickBot="1">
      <c r="N38" s="3175"/>
      <c r="O38" s="3184"/>
      <c r="P38" s="3039" t="s">
        <v>3499</v>
      </c>
      <c r="Q38" s="3040">
        <v>5874.31</v>
      </c>
      <c r="R38" s="3040">
        <v>0</v>
      </c>
      <c r="S38" s="3040">
        <v>5874.31</v>
      </c>
      <c r="T38" s="3187"/>
    </row>
    <row r="39" spans="14:20" ht="13.5" thickBot="1">
      <c r="N39" s="3175"/>
      <c r="O39" s="3185"/>
      <c r="P39" s="3039" t="s">
        <v>3215</v>
      </c>
      <c r="Q39" s="3040">
        <v>59454.19</v>
      </c>
      <c r="R39" s="3040">
        <v>0</v>
      </c>
      <c r="S39" s="3040">
        <v>59454.19</v>
      </c>
      <c r="T39" s="3187"/>
    </row>
    <row r="40" spans="14:20" ht="13.5" thickBot="1">
      <c r="N40" s="3175"/>
      <c r="O40" s="3189" t="s">
        <v>3507</v>
      </c>
      <c r="P40" s="3190"/>
      <c r="Q40" s="3040">
        <f>SUM(Q34:Q39)</f>
        <v>156062</v>
      </c>
      <c r="R40" s="3040">
        <f t="shared" ref="R40:S40" si="2">SUM(R34:R39)</f>
        <v>64610</v>
      </c>
      <c r="S40" s="3040">
        <f t="shared" si="2"/>
        <v>91452</v>
      </c>
      <c r="T40" s="3187"/>
    </row>
    <row r="41" spans="14:20" ht="13.5" thickBot="1">
      <c r="N41" s="3175"/>
      <c r="O41" s="3168" t="s">
        <v>3501</v>
      </c>
      <c r="P41" s="3039" t="s">
        <v>3502</v>
      </c>
      <c r="Q41" s="3040">
        <v>12764</v>
      </c>
      <c r="R41" s="3040">
        <v>84</v>
      </c>
      <c r="S41" s="3040">
        <v>12680</v>
      </c>
      <c r="T41" s="3187"/>
    </row>
    <row r="42" spans="14:20" ht="13.5" thickBot="1">
      <c r="N42" s="3175"/>
      <c r="O42" s="3185"/>
      <c r="P42" s="3039" t="s">
        <v>3503</v>
      </c>
      <c r="Q42" s="3040">
        <v>990</v>
      </c>
      <c r="R42" s="3040">
        <v>0</v>
      </c>
      <c r="S42" s="3040">
        <v>990</v>
      </c>
      <c r="T42" s="3187"/>
    </row>
    <row r="43" spans="14:20" ht="13.5" thickBot="1">
      <c r="N43" s="3175"/>
      <c r="O43" s="3189" t="s">
        <v>3508</v>
      </c>
      <c r="P43" s="3190"/>
      <c r="Q43" s="3040">
        <f>SUM(Q41:Q42)</f>
        <v>13754</v>
      </c>
      <c r="R43" s="3040">
        <f t="shared" ref="R43:S43" si="3">SUM(R41:R42)</f>
        <v>84</v>
      </c>
      <c r="S43" s="3040">
        <f t="shared" si="3"/>
        <v>13670</v>
      </c>
      <c r="T43" s="3187"/>
    </row>
    <row r="44" spans="14:20" ht="13.5" thickBot="1">
      <c r="N44" s="3176"/>
      <c r="O44" s="3191" t="s">
        <v>3509</v>
      </c>
      <c r="P44" s="3192"/>
      <c r="Q44" s="3041">
        <f>Q40+Q43</f>
        <v>169816</v>
      </c>
      <c r="R44" s="3041">
        <f>R40+R43</f>
        <v>64694</v>
      </c>
      <c r="S44" s="3041">
        <f>S40+S43</f>
        <v>105122</v>
      </c>
      <c r="T44" s="3188"/>
    </row>
    <row r="45" spans="14:20" ht="13.5" thickBot="1">
      <c r="N45" s="3193" t="s">
        <v>3510</v>
      </c>
      <c r="O45" s="3194"/>
      <c r="P45" s="3195"/>
      <c r="Q45" s="3041">
        <f>Q33+Q44</f>
        <v>388977.38</v>
      </c>
      <c r="R45" s="3041">
        <f>R33+R44</f>
        <v>153533.15</v>
      </c>
      <c r="S45" s="3041">
        <f>S33+S44</f>
        <v>235444.22999999998</v>
      </c>
      <c r="T45" s="3042"/>
    </row>
    <row r="49" spans="14:23" ht="12.75" thickBot="1"/>
    <row r="50" spans="14:23" ht="39" thickTop="1">
      <c r="N50" s="3205" t="s">
        <v>3539</v>
      </c>
      <c r="O50" s="3205" t="s">
        <v>3540</v>
      </c>
      <c r="P50" s="3205" t="s">
        <v>3541</v>
      </c>
      <c r="Q50" s="3059" t="s">
        <v>3497</v>
      </c>
      <c r="R50" s="3196" t="s">
        <v>3543</v>
      </c>
      <c r="S50" s="3197"/>
      <c r="T50" s="3196" t="s">
        <v>3544</v>
      </c>
      <c r="U50" s="3197"/>
      <c r="V50" s="3196" t="s">
        <v>3545</v>
      </c>
      <c r="W50" s="3197"/>
    </row>
    <row r="51" spans="14:23" ht="26.25" thickBot="1">
      <c r="N51" s="3206"/>
      <c r="O51" s="3206"/>
      <c r="P51" s="3206"/>
      <c r="Q51" s="3060" t="s">
        <v>3542</v>
      </c>
      <c r="R51" s="3060" t="s">
        <v>3546</v>
      </c>
      <c r="S51" s="3060" t="s">
        <v>3547</v>
      </c>
      <c r="T51" s="3060" t="s">
        <v>3548</v>
      </c>
      <c r="U51" s="3060" t="s">
        <v>3547</v>
      </c>
      <c r="V51" s="3060" t="s">
        <v>3548</v>
      </c>
      <c r="W51" s="3060" t="s">
        <v>3547</v>
      </c>
    </row>
    <row r="52" spans="14:23" ht="141" thickTop="1">
      <c r="N52" s="3061" t="s">
        <v>3549</v>
      </c>
      <c r="O52" s="3062">
        <f>系统读取表!B14</f>
        <v>219161.38</v>
      </c>
      <c r="P52" s="3063">
        <v>82881.19</v>
      </c>
      <c r="Q52" s="3064">
        <v>70718.3</v>
      </c>
      <c r="R52" s="3080">
        <v>462042</v>
      </c>
      <c r="S52" s="3081">
        <v>21083</v>
      </c>
      <c r="T52" s="3081">
        <v>17255</v>
      </c>
      <c r="U52" s="3081">
        <v>787</v>
      </c>
      <c r="V52" s="3081">
        <v>479297</v>
      </c>
      <c r="W52" s="3081">
        <v>21870</v>
      </c>
    </row>
    <row r="53" spans="14:23" ht="115.5" thickBot="1">
      <c r="N53" s="3061" t="s">
        <v>3550</v>
      </c>
      <c r="O53" s="3063">
        <v>169816</v>
      </c>
      <c r="P53" s="3063">
        <v>62541.33</v>
      </c>
      <c r="Q53" s="3062">
        <v>0</v>
      </c>
      <c r="R53" s="3082">
        <v>311695</v>
      </c>
      <c r="S53" s="3083">
        <v>18355</v>
      </c>
      <c r="T53" s="3083">
        <v>0</v>
      </c>
      <c r="U53" s="3083">
        <v>0</v>
      </c>
      <c r="V53" s="3083">
        <v>311695</v>
      </c>
      <c r="W53" s="3083">
        <v>18355</v>
      </c>
    </row>
    <row r="54" spans="14:23" ht="14.25" thickTop="1">
      <c r="N54" s="3061" t="s">
        <v>37</v>
      </c>
      <c r="O54" s="3064">
        <f>O52+O53</f>
        <v>388977.38</v>
      </c>
      <c r="P54" s="3063">
        <v>145422.51999999999</v>
      </c>
      <c r="Q54" s="3064">
        <v>70718.3</v>
      </c>
      <c r="R54" s="3198">
        <f>R52+R53</f>
        <v>773737</v>
      </c>
      <c r="S54" s="3199"/>
      <c r="T54" s="3198">
        <f t="shared" ref="T54" si="4">T52+T53</f>
        <v>17255</v>
      </c>
      <c r="U54" s="3199"/>
      <c r="V54" s="3198">
        <f>V52+V53</f>
        <v>790992</v>
      </c>
      <c r="W54" s="3199"/>
    </row>
    <row r="55" spans="14:23" ht="12.75" customHeight="1">
      <c r="N55" s="3200" t="s">
        <v>3551</v>
      </c>
      <c r="O55" s="3201"/>
      <c r="P55" s="3201"/>
      <c r="Q55" s="3202"/>
      <c r="R55" s="3203">
        <f>R54*10000</f>
        <v>7737370000</v>
      </c>
      <c r="S55" s="3204"/>
      <c r="T55" s="3203">
        <f t="shared" ref="T55" si="5">T54*10000</f>
        <v>172550000</v>
      </c>
      <c r="U55" s="3204"/>
      <c r="V55" s="3203">
        <f t="shared" ref="V55" si="6">V54*10000</f>
        <v>7909920000</v>
      </c>
      <c r="W55" s="3204"/>
    </row>
    <row r="56" spans="14:23" ht="12.75" customHeight="1">
      <c r="N56" s="3210" t="s">
        <v>3553</v>
      </c>
      <c r="O56" s="3211"/>
      <c r="P56" s="3211"/>
      <c r="Q56" s="3212"/>
      <c r="R56" s="3198">
        <v>0</v>
      </c>
      <c r="S56" s="3213"/>
      <c r="T56" s="3213"/>
      <c r="U56" s="3213"/>
      <c r="V56" s="3213"/>
      <c r="W56" s="3199"/>
    </row>
    <row r="57" spans="14:23" ht="12.75" customHeight="1">
      <c r="N57" s="3200" t="s">
        <v>3551</v>
      </c>
      <c r="O57" s="3201"/>
      <c r="P57" s="3201"/>
      <c r="Q57" s="3202"/>
      <c r="R57" s="3200" t="s">
        <v>3554</v>
      </c>
      <c r="S57" s="3201"/>
      <c r="T57" s="3201"/>
      <c r="U57" s="3201"/>
      <c r="V57" s="3201"/>
      <c r="W57" s="3202"/>
    </row>
    <row r="58" spans="14:23" ht="12.75" customHeight="1">
      <c r="N58" s="3210" t="s">
        <v>3040</v>
      </c>
      <c r="O58" s="3211"/>
      <c r="P58" s="3211"/>
      <c r="Q58" s="3212"/>
      <c r="R58" s="3198"/>
      <c r="S58" s="3213"/>
      <c r="T58" s="3213"/>
      <c r="U58" s="3213"/>
      <c r="V58" s="3213"/>
      <c r="W58" s="3199"/>
    </row>
    <row r="59" spans="14:23" ht="13.5" thickBot="1">
      <c r="N59" s="3207" t="s">
        <v>3551</v>
      </c>
      <c r="O59" s="3208"/>
      <c r="P59" s="3208"/>
      <c r="Q59" s="3209"/>
      <c r="R59" s="3207" t="s">
        <v>3552</v>
      </c>
      <c r="S59" s="3208"/>
      <c r="T59" s="3208"/>
      <c r="U59" s="3208"/>
      <c r="V59" s="3208"/>
      <c r="W59" s="3209"/>
    </row>
    <row r="60" spans="14:23" ht="12.75" thickTop="1"/>
  </sheetData>
  <mergeCells count="41">
    <mergeCell ref="N59:Q59"/>
    <mergeCell ref="R59:W59"/>
    <mergeCell ref="N56:Q56"/>
    <mergeCell ref="R56:W56"/>
    <mergeCell ref="N57:Q57"/>
    <mergeCell ref="R57:W57"/>
    <mergeCell ref="N58:Q58"/>
    <mergeCell ref="R58:W58"/>
    <mergeCell ref="V50:W50"/>
    <mergeCell ref="R54:S54"/>
    <mergeCell ref="T54:U54"/>
    <mergeCell ref="V54:W54"/>
    <mergeCell ref="N55:Q55"/>
    <mergeCell ref="R55:S55"/>
    <mergeCell ref="T55:U55"/>
    <mergeCell ref="V55:W55"/>
    <mergeCell ref="N50:N51"/>
    <mergeCell ref="O50:O51"/>
    <mergeCell ref="P50:P51"/>
    <mergeCell ref="R50:S50"/>
    <mergeCell ref="T50:U50"/>
    <mergeCell ref="N45:P45"/>
    <mergeCell ref="N34:N44"/>
    <mergeCell ref="O34:O39"/>
    <mergeCell ref="T34:T44"/>
    <mergeCell ref="O40:P40"/>
    <mergeCell ref="O41:O42"/>
    <mergeCell ref="O43:P43"/>
    <mergeCell ref="O44:P44"/>
    <mergeCell ref="O7:T7"/>
    <mergeCell ref="N20:N33"/>
    <mergeCell ref="O20:O21"/>
    <mergeCell ref="P20:P21"/>
    <mergeCell ref="Q20:S20"/>
    <mergeCell ref="T20:T21"/>
    <mergeCell ref="O22:O28"/>
    <mergeCell ref="T22:T33"/>
    <mergeCell ref="O29:P29"/>
    <mergeCell ref="O30:O31"/>
    <mergeCell ref="O32:P32"/>
    <mergeCell ref="O33:P33"/>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X37" sqref="X37"/>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84" t="str">
        <f>项目基本情况!B1</f>
        <v>北京市顺义区高丽营镇于庄03-31地块出让国有建设用地使用权及在建建筑物房地产抵押价值预评估</v>
      </c>
      <c r="C37" s="3084"/>
      <c r="D37" s="3084"/>
      <c r="E37" s="3084"/>
      <c r="F37" s="3084"/>
      <c r="G37" s="3084"/>
      <c r="H37" s="3084"/>
      <c r="I37" s="3084"/>
    </row>
    <row r="38" spans="1:9">
      <c r="A38" s="1018"/>
      <c r="B38" s="1018"/>
    </row>
    <row r="39" spans="1:9">
      <c r="A39" s="1016" t="s">
        <v>818</v>
      </c>
      <c r="B39" s="1016" t="s">
        <v>820</v>
      </c>
    </row>
    <row r="40" spans="1:9">
      <c r="A40" s="1016"/>
      <c r="B40" s="1943" t="str">
        <f>项目基本情况!B5</f>
        <v xml:space="preserve">北京万龙华房地产开发有限公司 </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郑燚（注册号：1120070131)、吴薇（注册号：1419970001)</v>
      </c>
    </row>
    <row r="47" spans="1:9">
      <c r="A47" s="1016"/>
      <c r="B47" s="1016" t="str">
        <f>项目基本情况!K5</f>
        <v/>
      </c>
    </row>
    <row r="48" spans="1:9">
      <c r="A48" s="1016" t="s">
        <v>818</v>
      </c>
      <c r="B48" s="1016" t="s">
        <v>824</v>
      </c>
    </row>
    <row r="49" spans="2:2">
      <c r="B49" s="1943" t="str">
        <f>"康正预评字"&amp;项目基本情况!B2&amp;"号"</f>
        <v>康正预评字2018-1-0667号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1926</v>
      </c>
      <c r="B1" s="1394"/>
      <c r="C1" s="1394"/>
      <c r="D1" s="1394"/>
      <c r="E1" s="1394"/>
      <c r="F1" s="1394"/>
      <c r="G1" s="1394"/>
      <c r="H1" s="1394"/>
      <c r="I1" s="1394"/>
      <c r="J1" s="1394"/>
      <c r="K1" s="1394"/>
      <c r="L1" s="1394"/>
      <c r="M1" s="1394"/>
      <c r="N1" s="1394"/>
      <c r="O1" s="1394"/>
      <c r="P1" s="1394"/>
    </row>
    <row r="2" spans="1:16" ht="15">
      <c r="A2" s="3223" t="s">
        <v>1927</v>
      </c>
      <c r="B2" s="3223"/>
      <c r="C2" s="3223"/>
      <c r="D2" s="969" t="s">
        <v>1903</v>
      </c>
      <c r="E2" s="2227" t="s">
        <v>1904</v>
      </c>
      <c r="F2" s="1394"/>
      <c r="G2" s="2228"/>
      <c r="H2" s="2229"/>
      <c r="I2" s="2230" t="s">
        <v>1928</v>
      </c>
      <c r="J2" s="1394"/>
      <c r="K2" s="1394"/>
      <c r="L2" s="1394"/>
      <c r="M2" s="1394"/>
      <c r="N2" s="1429"/>
      <c r="O2" s="1394"/>
      <c r="P2" s="1394"/>
    </row>
    <row r="3" spans="1:16" ht="15.75" thickBot="1">
      <c r="A3" s="3224" t="s">
        <v>1901</v>
      </c>
      <c r="B3" s="3224"/>
      <c r="C3" s="3224"/>
      <c r="D3" s="46">
        <f>'数据-基础表'!AY6</f>
        <v>82881.19</v>
      </c>
      <c r="E3" s="46">
        <f>'数据-基础表'!AZ5</f>
        <v>219161.38</v>
      </c>
      <c r="F3" s="1394"/>
      <c r="G3" s="1401"/>
      <c r="H3" s="1249" t="s">
        <v>1902</v>
      </c>
      <c r="I3" s="55">
        <f>ROUND('数据-基础表'!B3/'数据-基础表'!A3,2)</f>
        <v>2.63</v>
      </c>
      <c r="J3" s="1394"/>
      <c r="K3" s="1394"/>
      <c r="L3" s="1394"/>
      <c r="M3" s="1394"/>
      <c r="N3" s="1429"/>
      <c r="O3" s="1394"/>
      <c r="P3" s="1394"/>
    </row>
    <row r="4" spans="1:16" ht="15">
      <c r="A4" s="3225"/>
      <c r="B4" s="3226"/>
      <c r="C4" s="3227"/>
      <c r="D4" s="2231" t="s">
        <v>1903</v>
      </c>
      <c r="E4" s="2232" t="s">
        <v>1904</v>
      </c>
      <c r="F4" s="1394"/>
      <c r="G4" s="2233" t="s">
        <v>1929</v>
      </c>
      <c r="H4" s="1249" t="s">
        <v>1909</v>
      </c>
      <c r="I4" s="55">
        <f>ROUND(SUMIF('数据-基础表'!I9:AS9,"地上",'数据-基础表'!I5:AS5)/'数据-基础表'!A3,2)</f>
        <v>1.01</v>
      </c>
      <c r="J4" s="1394"/>
      <c r="K4" s="1394"/>
      <c r="L4" s="1394"/>
      <c r="M4" s="1394"/>
      <c r="N4" s="1429"/>
      <c r="O4" s="1394"/>
      <c r="P4" s="1394"/>
    </row>
    <row r="5" spans="1:16">
      <c r="A5" s="47" t="s">
        <v>1905</v>
      </c>
      <c r="B5" s="3228" t="s">
        <v>1906</v>
      </c>
      <c r="C5" s="3228"/>
      <c r="D5" s="48">
        <f>ROUND($D$3*E5/$E$3,2)</f>
        <v>32731.42</v>
      </c>
      <c r="E5" s="49">
        <f>SUMIF('数据-基础表'!$11:$11,"住宅",'数据-基础表'!$5:$5)</f>
        <v>86551.15</v>
      </c>
      <c r="F5" s="1394"/>
      <c r="G5" s="1401"/>
      <c r="H5" s="1249" t="s">
        <v>1902</v>
      </c>
      <c r="I5" s="55">
        <f>ROUND(E31/D31,2)</f>
        <v>2.64</v>
      </c>
      <c r="J5" s="1394"/>
      <c r="K5" s="1394"/>
      <c r="L5" s="1394"/>
      <c r="M5" s="1394"/>
      <c r="N5" s="1394"/>
      <c r="O5" s="1394"/>
      <c r="P5" s="1394"/>
    </row>
    <row r="6" spans="1:16" ht="15" thickBot="1">
      <c r="A6" s="2234"/>
      <c r="B6" s="3228" t="s">
        <v>1907</v>
      </c>
      <c r="C6" s="3228"/>
      <c r="D6" s="48">
        <f>ROUND($D$3*E6/$E$3,2)</f>
        <v>50149.77</v>
      </c>
      <c r="E6" s="49">
        <f>E3-E5</f>
        <v>132610.23000000001</v>
      </c>
      <c r="F6" s="1394"/>
      <c r="G6" s="2235" t="s">
        <v>1908</v>
      </c>
      <c r="H6" s="1401" t="s">
        <v>1909</v>
      </c>
      <c r="I6" s="941">
        <f>ROUND(F31/D31,2)</f>
        <v>1.07</v>
      </c>
      <c r="J6" s="1394"/>
      <c r="K6" s="1394"/>
      <c r="L6" s="1394"/>
      <c r="M6" s="1394"/>
      <c r="N6" s="1394"/>
      <c r="O6" s="1394"/>
      <c r="P6" s="1394"/>
    </row>
    <row r="7" spans="1:16" ht="15">
      <c r="A7" s="3220"/>
      <c r="B7" s="3221"/>
      <c r="C7" s="3222"/>
      <c r="D7" s="2231" t="s">
        <v>1903</v>
      </c>
      <c r="E7" s="2236" t="s">
        <v>1910</v>
      </c>
      <c r="F7" s="1394"/>
      <c r="G7" s="2228" t="s">
        <v>1911</v>
      </c>
      <c r="H7" s="63"/>
      <c r="I7" s="419"/>
      <c r="J7" s="1394"/>
      <c r="K7" s="1394"/>
      <c r="L7" s="1394"/>
      <c r="M7" s="1394"/>
      <c r="N7" s="1394"/>
      <c r="O7" s="1394"/>
      <c r="P7" s="1394"/>
    </row>
    <row r="8" spans="1:16">
      <c r="A8" s="47" t="s">
        <v>1912</v>
      </c>
      <c r="B8" s="50" t="s">
        <v>1913</v>
      </c>
      <c r="C8" s="48" t="s">
        <v>1914</v>
      </c>
      <c r="D8" s="48">
        <f t="shared" ref="D8:D15" si="0">ROUND($D$3*E8/$E$3,2)</f>
        <v>32825.96</v>
      </c>
      <c r="E8" s="51">
        <f>SUMIF('数据-基础表'!BB10:BK10,"地上",'数据-基础表'!BB5:BK5)</f>
        <v>86801.15</v>
      </c>
      <c r="F8" s="1394"/>
      <c r="G8" s="2237"/>
      <c r="H8" s="2237"/>
      <c r="I8" s="1394"/>
      <c r="J8" s="1394"/>
      <c r="K8" s="1394"/>
      <c r="L8" s="1394"/>
      <c r="M8" s="1394"/>
      <c r="N8" s="1394"/>
      <c r="O8" s="1394"/>
      <c r="P8" s="1394"/>
    </row>
    <row r="9" spans="1:16">
      <c r="A9" s="2238"/>
      <c r="B9" s="2239"/>
      <c r="C9" s="48" t="s">
        <v>1915</v>
      </c>
      <c r="D9" s="48">
        <f t="shared" si="0"/>
        <v>0</v>
      </c>
      <c r="E9" s="52">
        <v>0</v>
      </c>
      <c r="F9" s="1394"/>
      <c r="G9" s="2237"/>
      <c r="H9" s="2237"/>
      <c r="I9" s="1394"/>
      <c r="J9" s="1394"/>
      <c r="K9" s="1394"/>
      <c r="L9" s="1394"/>
      <c r="M9" s="1394"/>
      <c r="N9" s="1394"/>
      <c r="O9" s="1394"/>
      <c r="P9" s="1394"/>
    </row>
    <row r="10" spans="1:16">
      <c r="A10" s="2238"/>
      <c r="B10" s="2239"/>
      <c r="C10" s="48" t="s">
        <v>1924</v>
      </c>
      <c r="D10" s="48">
        <f t="shared" si="0"/>
        <v>86.98</v>
      </c>
      <c r="E10" s="51">
        <f>SUMPRODUCT(('数据-基础表'!BB10:BK10="地下")*('数据-基础表'!BB11:BK11="商业")*('数据-基础表'!BB5:BK5))</f>
        <v>230</v>
      </c>
      <c r="F10" s="1394"/>
      <c r="G10" s="2237"/>
      <c r="H10" s="2237"/>
      <c r="I10" s="1394"/>
      <c r="J10" s="1394"/>
      <c r="K10" s="1394"/>
      <c r="L10" s="1394"/>
      <c r="M10" s="1394"/>
      <c r="N10" s="1394"/>
      <c r="O10" s="1394"/>
      <c r="P10" s="1394"/>
    </row>
    <row r="11" spans="1:16">
      <c r="A11" s="2238"/>
      <c r="B11" s="2239"/>
      <c r="C11" s="48" t="s">
        <v>1916</v>
      </c>
      <c r="D11" s="48">
        <f t="shared" si="0"/>
        <v>18.91</v>
      </c>
      <c r="E11" s="51">
        <f>SUMPRODUCT(('数据-基础表'!BB10:BK10="地下")*('数据-基础表'!BB11:BK11="办公")*('数据-基础表'!BB5:BK5))+'数据-基础表'!BP5</f>
        <v>50</v>
      </c>
      <c r="F11" s="1394"/>
      <c r="G11" s="2237"/>
      <c r="H11" s="2237"/>
      <c r="I11" s="1394"/>
      <c r="J11" s="1394"/>
      <c r="K11" s="1394"/>
      <c r="L11" s="1394"/>
      <c r="M11" s="1394"/>
      <c r="N11" s="1394"/>
      <c r="O11" s="1394"/>
      <c r="P11" s="1394"/>
    </row>
    <row r="12" spans="1:16">
      <c r="A12" s="2238"/>
      <c r="B12" s="2239"/>
      <c r="C12" s="48" t="s">
        <v>1917</v>
      </c>
      <c r="D12" s="48">
        <f t="shared" si="0"/>
        <v>33817.99</v>
      </c>
      <c r="E12" s="51">
        <f>SUMPRODUCT(('数据-基础表'!BB10:BK10="地下")*('数据-基础表'!BB11:BK11="仓储")*('数据-基础表'!BB5:BK5))</f>
        <v>89424.37</v>
      </c>
      <c r="F12" s="1394"/>
      <c r="G12" s="2237"/>
      <c r="H12" s="2237"/>
      <c r="I12" s="1394"/>
      <c r="J12" s="1394"/>
      <c r="K12" s="1394"/>
      <c r="L12" s="1394"/>
      <c r="M12" s="1394"/>
      <c r="N12" s="1394"/>
      <c r="O12" s="1394"/>
      <c r="P12" s="1394"/>
    </row>
    <row r="13" spans="1:16">
      <c r="A13" s="2238"/>
      <c r="B13" s="2239"/>
      <c r="C13" s="48" t="s">
        <v>1918</v>
      </c>
      <c r="D13" s="48">
        <f t="shared" si="0"/>
        <v>13630.88</v>
      </c>
      <c r="E13" s="51">
        <f>SUMPRODUCT(('数据-基础表'!BB10:BK10="地下")*('数据-基础表'!BB11:BK11="车库")*('数据-基础表'!BB5:BK5))</f>
        <v>36043.919999999998</v>
      </c>
      <c r="F13" s="1394"/>
      <c r="G13" s="2237"/>
      <c r="H13" s="2237"/>
      <c r="I13" s="1394"/>
      <c r="J13" s="1394"/>
      <c r="K13" s="1394"/>
      <c r="L13" s="1394"/>
      <c r="M13" s="1394"/>
      <c r="N13" s="1394"/>
      <c r="O13" s="1394"/>
      <c r="P13" s="1394"/>
    </row>
    <row r="14" spans="1:16">
      <c r="A14" s="2238"/>
      <c r="B14" s="2239"/>
      <c r="C14" s="48" t="s">
        <v>1930</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1925</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1919</v>
      </c>
      <c r="D16" s="50">
        <f>SUM(D8:D15)</f>
        <v>80380.72</v>
      </c>
      <c r="E16" s="53">
        <f>SUM(E8:E15)</f>
        <v>212549.44</v>
      </c>
      <c r="F16" s="1394"/>
      <c r="G16" s="2237"/>
      <c r="H16" s="2240" t="s">
        <v>1931</v>
      </c>
      <c r="I16" s="2241"/>
      <c r="J16" s="1394"/>
      <c r="K16" s="3217" t="s">
        <v>1931</v>
      </c>
      <c r="L16" s="3218"/>
      <c r="M16" s="3218"/>
      <c r="N16" s="3218"/>
      <c r="O16" s="3218"/>
      <c r="P16" s="3219"/>
    </row>
    <row r="17" spans="1:19" ht="15">
      <c r="A17" s="2242" t="s">
        <v>1932</v>
      </c>
      <c r="B17" s="2243" t="s">
        <v>1933</v>
      </c>
      <c r="C17" s="2244" t="s">
        <v>1934</v>
      </c>
      <c r="D17" s="2245" t="s">
        <v>1922</v>
      </c>
      <c r="E17" s="2246" t="s">
        <v>1923</v>
      </c>
      <c r="F17" s="2247"/>
      <c r="G17" s="2248"/>
      <c r="H17" s="2249" t="s">
        <v>1935</v>
      </c>
      <c r="I17" s="2250" t="s">
        <v>1920</v>
      </c>
      <c r="J17" s="1394"/>
      <c r="K17" s="3214" t="s">
        <v>1936</v>
      </c>
      <c r="L17" s="3215"/>
      <c r="M17" s="3216"/>
      <c r="N17" s="3214" t="s">
        <v>1937</v>
      </c>
      <c r="O17" s="3215"/>
      <c r="P17" s="3216"/>
      <c r="R17" s="2228" t="s">
        <v>1938</v>
      </c>
      <c r="S17" s="63"/>
    </row>
    <row r="18" spans="1:19" ht="15">
      <c r="A18" s="2238"/>
      <c r="B18" s="2251"/>
      <c r="C18" s="2252"/>
      <c r="D18" s="2253"/>
      <c r="E18" s="2254" t="s">
        <v>1939</v>
      </c>
      <c r="F18" s="2255" t="s">
        <v>1940</v>
      </c>
      <c r="G18" s="2256" t="s">
        <v>1941</v>
      </c>
      <c r="H18" s="1264" t="s">
        <v>1942</v>
      </c>
      <c r="I18" s="2257" t="s">
        <v>1943</v>
      </c>
      <c r="J18" s="1394"/>
      <c r="K18" s="1264" t="s">
        <v>1944</v>
      </c>
      <c r="L18" s="2258" t="s">
        <v>1945</v>
      </c>
      <c r="M18" s="1048" t="s">
        <v>1946</v>
      </c>
      <c r="N18" s="1264" t="s">
        <v>1944</v>
      </c>
      <c r="O18" s="2258" t="s">
        <v>1945</v>
      </c>
      <c r="P18" s="1048" t="s">
        <v>1946</v>
      </c>
      <c r="R18" s="1249" t="s">
        <v>1947</v>
      </c>
      <c r="S18" s="1249" t="s">
        <v>1948</v>
      </c>
    </row>
    <row r="19" spans="1:19">
      <c r="A19" s="2259"/>
      <c r="B19" s="50" t="s">
        <v>1921</v>
      </c>
      <c r="C19" s="2962" t="s">
        <v>3187</v>
      </c>
      <c r="D19" s="48">
        <f>ROUND($D$3*E19/$E$3,2)</f>
        <v>16649.810000000001</v>
      </c>
      <c r="E19" s="56">
        <f t="shared" ref="E19:E26" si="1">SUM(F19:G19)</f>
        <v>44026.80999999999</v>
      </c>
      <c r="F19" s="57">
        <f>'数据-基础表'!I13</f>
        <v>44026.80999999999</v>
      </c>
      <c r="G19" s="58"/>
      <c r="H19" s="722">
        <f>ROUND($D$3*I19/$E$3,2)</f>
        <v>740.89</v>
      </c>
      <c r="I19" s="51">
        <f t="shared" ref="I19:I26" si="2">IF($I$17="自定义",P19,M19)</f>
        <v>1959.12</v>
      </c>
      <c r="J19" s="1394"/>
      <c r="K19" s="1393">
        <f t="shared" ref="K19:K26" si="3">ROUND(E$28*E19/E$27,2)</f>
        <v>982.46</v>
      </c>
      <c r="L19" s="1249">
        <f t="shared" ref="L19:L26" si="4">ROUND(IF(COUNTIF(C19,"*住宅*")&gt;0,E$29*E19/E$32,0),2)</f>
        <v>976.66</v>
      </c>
      <c r="M19" s="1405">
        <f>K19+L19</f>
        <v>1959.12</v>
      </c>
      <c r="N19" s="2260"/>
      <c r="O19" s="2261"/>
      <c r="P19" s="1405">
        <f>N19+O19</f>
        <v>0</v>
      </c>
      <c r="R19" s="1249">
        <f t="shared" ref="R19:S26" si="5">D19+H19</f>
        <v>17390.7</v>
      </c>
      <c r="S19" s="1250">
        <f t="shared" si="5"/>
        <v>45985.929999999993</v>
      </c>
    </row>
    <row r="20" spans="1:19">
      <c r="A20" s="2262"/>
      <c r="B20" s="50" t="s">
        <v>1949</v>
      </c>
      <c r="C20" s="2962" t="s">
        <v>3188</v>
      </c>
      <c r="D20" s="48">
        <f t="shared" ref="D20:D26" si="6">ROUND($D$3*E20/$E$3,2)</f>
        <v>4102.53</v>
      </c>
      <c r="E20" s="56">
        <f t="shared" si="1"/>
        <v>10848.240000000013</v>
      </c>
      <c r="F20" s="57">
        <f>'数据-基础表'!K13</f>
        <v>10848.240000000013</v>
      </c>
      <c r="G20" s="58"/>
      <c r="H20" s="722">
        <f t="shared" ref="H20:H26" si="7">ROUND($D$3*I20/$E$3,2)</f>
        <v>182.56</v>
      </c>
      <c r="I20" s="51">
        <f t="shared" si="2"/>
        <v>482.73</v>
      </c>
      <c r="J20" s="1394"/>
      <c r="K20" s="1393">
        <f t="shared" si="3"/>
        <v>242.08</v>
      </c>
      <c r="L20" s="1249">
        <f t="shared" si="4"/>
        <v>240.65</v>
      </c>
      <c r="M20" s="1405">
        <f t="shared" ref="M20:M26" si="8">K20+L20</f>
        <v>482.73</v>
      </c>
      <c r="N20" s="2260"/>
      <c r="O20" s="2261"/>
      <c r="P20" s="1405">
        <f t="shared" ref="P20:P26" si="9">N20+O20</f>
        <v>0</v>
      </c>
      <c r="R20" s="1249">
        <f t="shared" si="5"/>
        <v>4285.09</v>
      </c>
      <c r="S20" s="1250">
        <f t="shared" si="5"/>
        <v>11330.970000000012</v>
      </c>
    </row>
    <row r="21" spans="1:19">
      <c r="A21" s="2262"/>
      <c r="B21" s="50" t="s">
        <v>1949</v>
      </c>
      <c r="C21" s="2962" t="s">
        <v>3189</v>
      </c>
      <c r="D21" s="48">
        <f t="shared" si="6"/>
        <v>11979.09</v>
      </c>
      <c r="E21" s="56">
        <f t="shared" si="1"/>
        <v>31676.1</v>
      </c>
      <c r="F21" s="57">
        <f>'数据-基础表'!M13</f>
        <v>31676.1</v>
      </c>
      <c r="G21" s="58"/>
      <c r="H21" s="722">
        <f t="shared" si="7"/>
        <v>533.04999999999995</v>
      </c>
      <c r="I21" s="51">
        <f t="shared" si="2"/>
        <v>1409.53</v>
      </c>
      <c r="J21" s="1394"/>
      <c r="K21" s="1393">
        <f t="shared" si="3"/>
        <v>706.85</v>
      </c>
      <c r="L21" s="1249">
        <f t="shared" si="4"/>
        <v>702.68</v>
      </c>
      <c r="M21" s="1405">
        <f t="shared" si="8"/>
        <v>1409.53</v>
      </c>
      <c r="N21" s="2260"/>
      <c r="O21" s="2261"/>
      <c r="P21" s="1405">
        <f t="shared" si="9"/>
        <v>0</v>
      </c>
      <c r="R21" s="1249">
        <f t="shared" si="5"/>
        <v>12512.14</v>
      </c>
      <c r="S21" s="1250">
        <f t="shared" si="5"/>
        <v>33085.629999999997</v>
      </c>
    </row>
    <row r="22" spans="1:19">
      <c r="A22" s="2262"/>
      <c r="B22" s="50" t="s">
        <v>1949</v>
      </c>
      <c r="C22" s="2963" t="s">
        <v>3190</v>
      </c>
      <c r="D22" s="48">
        <f t="shared" si="6"/>
        <v>181.52</v>
      </c>
      <c r="E22" s="56">
        <f t="shared" si="1"/>
        <v>480</v>
      </c>
      <c r="F22" s="60">
        <f>'数据-基础表'!O13</f>
        <v>250</v>
      </c>
      <c r="G22" s="61">
        <f>'数据-基础表'!W13</f>
        <v>230</v>
      </c>
      <c r="H22" s="722">
        <f t="shared" si="7"/>
        <v>4.05</v>
      </c>
      <c r="I22" s="51">
        <f t="shared" si="2"/>
        <v>10.71</v>
      </c>
      <c r="J22" s="1394"/>
      <c r="K22" s="1393">
        <f t="shared" si="3"/>
        <v>10.71</v>
      </c>
      <c r="L22" s="1249">
        <f t="shared" si="4"/>
        <v>0</v>
      </c>
      <c r="M22" s="1405">
        <f t="shared" si="8"/>
        <v>10.71</v>
      </c>
      <c r="N22" s="2260"/>
      <c r="O22" s="2261"/>
      <c r="P22" s="1405">
        <f t="shared" si="9"/>
        <v>0</v>
      </c>
      <c r="R22" s="1249">
        <f t="shared" si="5"/>
        <v>185.57000000000002</v>
      </c>
      <c r="S22" s="1250">
        <f t="shared" si="5"/>
        <v>490.71</v>
      </c>
    </row>
    <row r="23" spans="1:19">
      <c r="A23" s="2262"/>
      <c r="B23" s="50" t="s">
        <v>1949</v>
      </c>
      <c r="C23" s="2963" t="s">
        <v>3191</v>
      </c>
      <c r="D23" s="48">
        <f>ROUND($D$3*E23/$E$3,2)</f>
        <v>13630.88</v>
      </c>
      <c r="E23" s="56">
        <f>SUM(F23:G23)</f>
        <v>36043.919999999998</v>
      </c>
      <c r="F23" s="60"/>
      <c r="G23" s="61">
        <f>'数据-基础表'!Q13</f>
        <v>36043.919999999998</v>
      </c>
      <c r="H23" s="722">
        <f>ROUND($D$3*I23/$E$3,2)</f>
        <v>304.17</v>
      </c>
      <c r="I23" s="51">
        <f t="shared" si="2"/>
        <v>804.32</v>
      </c>
      <c r="J23" s="1394"/>
      <c r="K23" s="1393">
        <f t="shared" si="3"/>
        <v>804.32</v>
      </c>
      <c r="L23" s="1249">
        <f t="shared" si="4"/>
        <v>0</v>
      </c>
      <c r="M23" s="1405">
        <f t="shared" si="8"/>
        <v>804.32</v>
      </c>
      <c r="N23" s="2260"/>
      <c r="O23" s="2261"/>
      <c r="P23" s="1405">
        <f t="shared" si="9"/>
        <v>0</v>
      </c>
      <c r="R23" s="1249">
        <f t="shared" si="5"/>
        <v>13935.05</v>
      </c>
      <c r="S23" s="1250">
        <f t="shared" si="5"/>
        <v>36848.239999999998</v>
      </c>
    </row>
    <row r="24" spans="1:19">
      <c r="A24" s="2262"/>
      <c r="B24" s="50" t="s">
        <v>1949</v>
      </c>
      <c r="C24" s="2963" t="s">
        <v>3192</v>
      </c>
      <c r="D24" s="48">
        <f>ROUND($D$3*E24/$E$3,2)</f>
        <v>3846.84</v>
      </c>
      <c r="E24" s="56">
        <f>SUM(F24:G24)</f>
        <v>10172.129999999999</v>
      </c>
      <c r="F24" s="60"/>
      <c r="G24" s="61">
        <f>'数据-基础表'!U13</f>
        <v>10172.129999999999</v>
      </c>
      <c r="H24" s="722">
        <f>ROUND($D$3*I24/$E$3,2)</f>
        <v>85.84</v>
      </c>
      <c r="I24" s="51">
        <f t="shared" si="2"/>
        <v>226.99</v>
      </c>
      <c r="J24" s="1394"/>
      <c r="K24" s="1393">
        <f t="shared" si="3"/>
        <v>226.99</v>
      </c>
      <c r="L24" s="1249">
        <f t="shared" si="4"/>
        <v>0</v>
      </c>
      <c r="M24" s="1405">
        <f t="shared" si="8"/>
        <v>226.99</v>
      </c>
      <c r="N24" s="2260"/>
      <c r="O24" s="2261"/>
      <c r="P24" s="1405">
        <f t="shared" si="9"/>
        <v>0</v>
      </c>
      <c r="R24" s="1249">
        <f t="shared" si="5"/>
        <v>3932.6800000000003</v>
      </c>
      <c r="S24" s="1250">
        <f t="shared" si="5"/>
        <v>10399.119999999999</v>
      </c>
    </row>
    <row r="25" spans="1:19">
      <c r="A25" s="2262"/>
      <c r="B25" s="50" t="s">
        <v>1949</v>
      </c>
      <c r="C25" s="2963" t="s">
        <v>3193</v>
      </c>
      <c r="D25" s="48">
        <f t="shared" si="6"/>
        <v>29971.16</v>
      </c>
      <c r="E25" s="56">
        <f t="shared" si="1"/>
        <v>79252.239999999991</v>
      </c>
      <c r="F25" s="60"/>
      <c r="G25" s="61">
        <f>'数据-基础表'!S13</f>
        <v>79252.239999999991</v>
      </c>
      <c r="H25" s="47">
        <f t="shared" si="7"/>
        <v>668.81</v>
      </c>
      <c r="I25" s="51">
        <f t="shared" si="2"/>
        <v>1768.52</v>
      </c>
      <c r="J25" s="1394"/>
      <c r="K25" s="1393">
        <f t="shared" si="3"/>
        <v>1768.52</v>
      </c>
      <c r="L25" s="1249">
        <f t="shared" si="4"/>
        <v>0</v>
      </c>
      <c r="M25" s="1405">
        <f t="shared" si="8"/>
        <v>1768.52</v>
      </c>
      <c r="N25" s="2260"/>
      <c r="O25" s="2261"/>
      <c r="P25" s="1405">
        <f t="shared" si="9"/>
        <v>0</v>
      </c>
      <c r="R25" s="1249">
        <f t="shared" si="5"/>
        <v>30639.97</v>
      </c>
      <c r="S25" s="1250">
        <f t="shared" si="5"/>
        <v>81020.759999999995</v>
      </c>
    </row>
    <row r="26" spans="1:19">
      <c r="A26" s="2262"/>
      <c r="B26" s="50" t="s">
        <v>1949</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3"/>
      <c r="O26" s="2264"/>
      <c r="P26" s="66">
        <f t="shared" si="9"/>
        <v>0</v>
      </c>
      <c r="R26" s="1249">
        <f t="shared" si="5"/>
        <v>0</v>
      </c>
      <c r="S26" s="1250">
        <f t="shared" si="5"/>
        <v>0</v>
      </c>
    </row>
    <row r="27" spans="1:19" ht="29.25" thickBot="1">
      <c r="A27" s="2262"/>
      <c r="B27" s="48"/>
      <c r="C27" s="2265" t="s">
        <v>1950</v>
      </c>
      <c r="D27" s="1395">
        <f>SUM(D19:D26)</f>
        <v>80361.83</v>
      </c>
      <c r="E27" s="1396">
        <f>IF(SUM(E19:E26)='数据-基础表'!BA5,SUM(E19:E26),IF(F27="地上面积有误","面积有误","地下面积有误"))</f>
        <v>212499.43999999997</v>
      </c>
      <c r="F27" s="1395">
        <f>IF(SUM(F19:F26)=E8,SUM(F19:F26),"地上面积有误")</f>
        <v>86801.15</v>
      </c>
      <c r="G27" s="1397">
        <f>SUM(G19:G26)</f>
        <v>125698.28999999998</v>
      </c>
      <c r="H27" s="1398">
        <f>SUM(H19:H26)</f>
        <v>2519.37</v>
      </c>
      <c r="I27" s="1399">
        <f>SUM(I19:I26)</f>
        <v>6661.92</v>
      </c>
      <c r="J27" s="1394"/>
      <c r="K27" s="1402">
        <f>SUM(K19:K26)</f>
        <v>4741.93</v>
      </c>
      <c r="L27" s="1403">
        <f>SUM(L19:L26)</f>
        <v>1919.9899999999998</v>
      </c>
      <c r="M27" s="1406">
        <f>SUM(M19:M26)</f>
        <v>6661.92</v>
      </c>
      <c r="N27" s="1402">
        <f t="shared" ref="N27:O27" si="10">SUM(N19:N26)</f>
        <v>0</v>
      </c>
      <c r="O27" s="1403">
        <f t="shared" si="10"/>
        <v>0</v>
      </c>
      <c r="P27" s="1404">
        <f>SUM(P19:P26)</f>
        <v>0</v>
      </c>
      <c r="R27" s="1251" t="str">
        <f>IF(SUM(R19:R26)=$D$3,SUM(R19:R26),SUM(R19:R26)&amp;"误差"&amp;ROUND(SUM(R19:R26)-$D$3,2))</f>
        <v>82881.2误差0.01</v>
      </c>
      <c r="S27" s="1249" t="str">
        <f>IF(SUM(S19:S26)=$E$3,SUM(S19:S26),SUM(S19:S26)&amp;"误差"&amp;ROUND(SUM(S19:S26)-E3,2))</f>
        <v>219161.36误差-0.02</v>
      </c>
    </row>
    <row r="28" spans="1:19">
      <c r="A28" s="2262"/>
      <c r="B28" s="50" t="s">
        <v>1951</v>
      </c>
      <c r="C28" s="1261" t="s">
        <v>1952</v>
      </c>
      <c r="D28" s="48">
        <f>ROUND($D$3*E28/$E$3,2)</f>
        <v>1793.28</v>
      </c>
      <c r="E28" s="56">
        <f>SUM(F28:G28)</f>
        <v>4741.939999999996</v>
      </c>
      <c r="F28" s="63">
        <f>'数据-基础表'!BQ5+'数据-基础表'!BS5</f>
        <v>168</v>
      </c>
      <c r="G28" s="64">
        <f>'数据-基础表'!BR5+'数据-基础表'!BT5</f>
        <v>4573.939999999996</v>
      </c>
      <c r="H28" s="1394"/>
      <c r="I28" s="1394"/>
      <c r="J28" s="1394"/>
      <c r="K28" s="1394"/>
      <c r="L28" s="1394"/>
      <c r="M28" s="1394"/>
      <c r="N28" s="1394"/>
      <c r="O28" s="1394"/>
      <c r="P28" s="1394"/>
    </row>
    <row r="29" spans="1:19">
      <c r="A29" s="2262"/>
      <c r="B29" s="50" t="s">
        <v>1951</v>
      </c>
      <c r="C29" s="2266" t="s">
        <v>1953</v>
      </c>
      <c r="D29" s="48">
        <f>ROUND($D$3*E29/$E$3,2)</f>
        <v>726.09</v>
      </c>
      <c r="E29" s="56">
        <f>SUM(F29:G29)</f>
        <v>1920</v>
      </c>
      <c r="F29" s="65">
        <f>'数据-基础表'!BM5+'数据-基础表'!BO5</f>
        <v>1870</v>
      </c>
      <c r="G29" s="66">
        <f>'数据-基础表'!BN5+'数据-基础表'!BP5</f>
        <v>50</v>
      </c>
      <c r="H29" s="1394"/>
      <c r="I29" s="1394"/>
      <c r="J29" s="1394"/>
      <c r="K29" s="1394"/>
      <c r="L29" s="1394"/>
      <c r="M29" s="1394"/>
      <c r="N29" s="1394"/>
      <c r="O29" s="1394"/>
      <c r="P29" s="1394"/>
    </row>
    <row r="30" spans="1:19" ht="15">
      <c r="A30" s="2262"/>
      <c r="B30" s="50"/>
      <c r="C30" s="2267" t="s">
        <v>1950</v>
      </c>
      <c r="D30" s="1395">
        <f>SUM(D28:D29)</f>
        <v>2519.37</v>
      </c>
      <c r="E30" s="1395">
        <f>SUM(E28:E29)</f>
        <v>6661.939999999996</v>
      </c>
      <c r="F30" s="1395">
        <f>SUM(F28:F29)</f>
        <v>2038</v>
      </c>
      <c r="G30" s="1397">
        <f>SUM(G28:G29)</f>
        <v>4623.939999999996</v>
      </c>
      <c r="H30" s="1394"/>
      <c r="I30" s="1394"/>
      <c r="J30" s="1394"/>
      <c r="K30" s="1394"/>
      <c r="L30" s="1394"/>
      <c r="M30" s="1394"/>
      <c r="N30" s="1394"/>
      <c r="O30" s="1394"/>
      <c r="P30" s="1394"/>
    </row>
    <row r="31" spans="1:19" ht="15.75" thickBot="1">
      <c r="A31" s="2268"/>
      <c r="B31" s="2269"/>
      <c r="C31" s="1009" t="s">
        <v>1954</v>
      </c>
      <c r="D31" s="728">
        <f>D27+D30</f>
        <v>82881.2</v>
      </c>
      <c r="E31" s="728">
        <f>E27+E30</f>
        <v>219161.37999999998</v>
      </c>
      <c r="F31" s="729">
        <f>F27+F30</f>
        <v>88839.15</v>
      </c>
      <c r="G31" s="730">
        <f>G27+G30</f>
        <v>130322.22999999998</v>
      </c>
      <c r="H31" s="1394"/>
      <c r="I31" s="1394"/>
      <c r="J31" s="1394"/>
      <c r="K31" s="1394"/>
      <c r="L31" s="1394"/>
      <c r="M31" s="1394"/>
      <c r="N31" s="1394"/>
      <c r="O31" s="1394"/>
      <c r="P31" s="1394"/>
    </row>
    <row r="32" spans="1:19">
      <c r="A32" s="2233"/>
      <c r="B32" s="2233" t="s">
        <v>1955</v>
      </c>
      <c r="C32" s="2233"/>
      <c r="D32" s="2233"/>
      <c r="E32" s="1276">
        <f>SUMIF(C19:C26,"*住宅*",E19:E26)</f>
        <v>86551.15</v>
      </c>
      <c r="F32" s="2233"/>
      <c r="G32" s="2233"/>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1956</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1957</v>
      </c>
      <c r="B2" s="1268">
        <f>项目基本情况!D3</f>
        <v>43444</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7" t="s">
        <v>1958</v>
      </c>
      <c r="B4" s="2280"/>
      <c r="C4" s="2281"/>
      <c r="D4" s="2282"/>
      <c r="E4" s="2281" t="s">
        <v>1959</v>
      </c>
      <c r="F4" s="2281"/>
      <c r="G4" s="2281"/>
      <c r="H4" s="2281"/>
      <c r="I4" s="2281"/>
      <c r="J4" s="2283"/>
      <c r="K4" s="2284"/>
      <c r="L4" s="2285"/>
      <c r="M4" s="2281"/>
      <c r="N4" s="2281" t="s">
        <v>1960</v>
      </c>
      <c r="O4" s="2281"/>
      <c r="P4" s="2281"/>
      <c r="Q4" s="2281"/>
      <c r="R4" s="2281"/>
      <c r="S4" s="2283"/>
      <c r="T4" s="2286" t="str">
        <f>'数据-汇总表'!I17</f>
        <v>按面积比例</v>
      </c>
      <c r="U4" s="2280" t="s">
        <v>1961</v>
      </c>
      <c r="V4" s="2281"/>
      <c r="W4" s="2281"/>
      <c r="X4" s="2281"/>
      <c r="Y4" s="2283"/>
      <c r="Z4" s="2244" t="s">
        <v>1962</v>
      </c>
      <c r="AA4" s="2244"/>
      <c r="AB4" s="2244"/>
      <c r="AC4" s="2244"/>
      <c r="AD4" s="2244"/>
      <c r="AE4" s="2242" t="s">
        <v>1963</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1964</v>
      </c>
      <c r="B5" s="2289" t="s">
        <v>1965</v>
      </c>
      <c r="C5" s="2290" t="s">
        <v>1966</v>
      </c>
      <c r="D5" s="2291" t="s">
        <v>1967</v>
      </c>
      <c r="E5" s="1270" t="s">
        <v>1968</v>
      </c>
      <c r="F5" s="2292" t="s">
        <v>1969</v>
      </c>
      <c r="G5" s="1270" t="s">
        <v>1970</v>
      </c>
      <c r="H5" s="1270" t="s">
        <v>1971</v>
      </c>
      <c r="I5" s="1270" t="s">
        <v>1972</v>
      </c>
      <c r="J5" s="2293" t="s">
        <v>1973</v>
      </c>
      <c r="K5" s="2294" t="s">
        <v>1974</v>
      </c>
      <c r="L5" s="2295" t="s">
        <v>1975</v>
      </c>
      <c r="M5" s="2296" t="s">
        <v>1976</v>
      </c>
      <c r="N5" s="2297" t="s">
        <v>3322</v>
      </c>
      <c r="O5" s="2295" t="s">
        <v>1977</v>
      </c>
      <c r="P5" s="2298" t="s">
        <v>1978</v>
      </c>
      <c r="Q5" s="68" t="s">
        <v>1979</v>
      </c>
      <c r="R5" s="2299" t="s">
        <v>1980</v>
      </c>
      <c r="S5" s="2300" t="s">
        <v>1981</v>
      </c>
      <c r="T5" s="2301" t="s">
        <v>1982</v>
      </c>
      <c r="U5" s="1269" t="s">
        <v>1983</v>
      </c>
      <c r="V5" s="1270" t="s">
        <v>1984</v>
      </c>
      <c r="W5" s="1270" t="s">
        <v>1985</v>
      </c>
      <c r="X5" s="70"/>
      <c r="Y5" s="69" t="s">
        <v>1986</v>
      </c>
      <c r="Z5" s="2302" t="s">
        <v>1983</v>
      </c>
      <c r="AA5" s="1270" t="s">
        <v>1984</v>
      </c>
      <c r="AB5" s="1270" t="s">
        <v>1985</v>
      </c>
      <c r="AC5" s="70"/>
      <c r="AD5" s="70" t="s">
        <v>1986</v>
      </c>
      <c r="AE5" s="1269" t="s">
        <v>1987</v>
      </c>
      <c r="AF5" s="1270" t="s">
        <v>1988</v>
      </c>
      <c r="AG5" s="69" t="s">
        <v>1989</v>
      </c>
      <c r="AH5" s="1269" t="s">
        <v>1990</v>
      </c>
      <c r="AI5" s="2302" t="s">
        <v>1991</v>
      </c>
      <c r="AJ5" s="2302" t="s">
        <v>1992</v>
      </c>
      <c r="AK5" s="1270" t="s">
        <v>1993</v>
      </c>
      <c r="AL5" s="1270" t="s">
        <v>1994</v>
      </c>
      <c r="AM5" s="69" t="s">
        <v>1995</v>
      </c>
      <c r="AN5" s="2303" t="s">
        <v>1996</v>
      </c>
      <c r="AO5" s="2074" t="s">
        <v>1997</v>
      </c>
      <c r="AP5" s="1251" t="s">
        <v>1998</v>
      </c>
      <c r="AQ5" s="2304" t="s">
        <v>1999</v>
      </c>
      <c r="AR5" s="2304" t="s">
        <v>2000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5" t="str">
        <f>'数据-汇总表'!C19</f>
        <v>低密度住宅</v>
      </c>
      <c r="B6" s="2306" t="str">
        <f>IF(A6=0,"","经营性")</f>
        <v>经营性</v>
      </c>
      <c r="C6" s="2307" t="s">
        <v>3076</v>
      </c>
      <c r="D6" s="1053">
        <f>SUMIF(项目基本情况!D$12:I$12,C6,项目基本情况!D$14:I$14)</f>
        <v>70</v>
      </c>
      <c r="E6" s="1050">
        <f>IF(B6="","",SUMIF(项目基本情况!D$12:I$12,C6,项目基本情况!D$13:I$13))</f>
        <v>68510</v>
      </c>
      <c r="F6" s="71">
        <f>SUMIF(项目基本情况!D$12:I$12,C6,项目基本情况!D$15:I$15)</f>
        <v>68.67</v>
      </c>
      <c r="G6" s="72">
        <f>IF(ISERROR(ROUND(POWER(1+H6,D6-F6)*(POWER(1+H6,F6)-1)/(POWER(1+H6,D6)-1),3)),0,ROUND(POWER(1+H6,D6-F6)*(POWER(1+H6,F6)-1)/(POWER(1+H6,D6)-1),3))</f>
        <v>0.997</v>
      </c>
      <c r="H6" s="801">
        <v>4.4999999999999998E-2</v>
      </c>
      <c r="I6" s="801">
        <v>0.05</v>
      </c>
      <c r="J6" s="73">
        <v>8.5000000000000006E-2</v>
      </c>
      <c r="K6" s="1253">
        <f>SUMIF('数据-汇总表'!C$19:C$33,A6,'数据-汇总表'!E$19:E$33)</f>
        <v>44026.80999999999</v>
      </c>
      <c r="L6" s="802">
        <v>4000</v>
      </c>
      <c r="M6" s="74">
        <f t="shared" ref="M6:M14" si="0">ROUND(K6*L6/10000,0)</f>
        <v>17611</v>
      </c>
      <c r="N6" s="800">
        <f>规证面积!O89</f>
        <v>0.19</v>
      </c>
      <c r="O6" s="74">
        <f>IF($N$5="成新度","——",ROUND(M6*N6,0))</f>
        <v>3346</v>
      </c>
      <c r="P6" s="75">
        <f>IF($N$5="成新度","——",M6-O6)</f>
        <v>14265</v>
      </c>
      <c r="Q6" s="803">
        <v>0.1</v>
      </c>
      <c r="R6" s="76">
        <f ca="1">SUMIF('数据-汇总表'!C$19:C$33,A6,'数据-汇总表'!R$19:R$27)</f>
        <v>17390.7</v>
      </c>
      <c r="S6" s="54">
        <f>IF('数据-汇总表'!$I$17="按面积比例",SUMIF('数据-汇总表'!C$19:C$33,A6,'数据-汇总表'!K$19:K$33),SUMIF('数据-汇总表'!C$19:C$33,A6,'数据-汇总表'!N$19:N$33))</f>
        <v>982.46</v>
      </c>
      <c r="T6" s="1445">
        <f>ROUND($L$14*S6/10000,0)</f>
        <v>236</v>
      </c>
      <c r="U6" s="77"/>
      <c r="V6" s="78"/>
      <c r="W6" s="78"/>
      <c r="X6" s="1263"/>
      <c r="Y6" s="79"/>
      <c r="Z6" s="80"/>
      <c r="AA6" s="73"/>
      <c r="AB6" s="73"/>
      <c r="AC6" s="1263"/>
      <c r="AD6" s="81"/>
      <c r="AE6" s="1264">
        <f ca="1">IF(AN6="",0,SUMIF(INDIRECT("'"&amp;AN6&amp;"'"&amp;"!E:E"),$AE$5,INDIRECT("'"&amp;AN6&amp;"'"&amp;"!F:F")))</f>
        <v>0</v>
      </c>
      <c r="AF6" s="1805"/>
      <c r="AG6" s="146">
        <f>IF(AF6="",0,AE6-AF6)</f>
        <v>0</v>
      </c>
      <c r="AH6" s="82"/>
      <c r="AI6" s="84"/>
      <c r="AJ6" s="85"/>
      <c r="AK6" s="86"/>
      <c r="AL6" s="87"/>
      <c r="AM6" s="88"/>
      <c r="AN6" s="2308"/>
      <c r="AO6" s="55" t="e">
        <f ca="1">SUMIF(INDIRECT("'"&amp;AN6&amp;"'"&amp;"!A:A"),"总价",INDIRECT("'"&amp;AN6&amp;"'"&amp;"!B:B"))</f>
        <v>#REF!</v>
      </c>
      <c r="AP6" s="2309">
        <f>IF(C6="住宅",K6*L6,0)</f>
        <v>176107239.99999997</v>
      </c>
      <c r="AQ6" s="55">
        <f>ROUND($L$14*$N$14*S6/10000,0)</f>
        <v>45</v>
      </c>
      <c r="AR6" s="55">
        <f>ROUND($L$14*(1-$N$14)*S6/10000,0)</f>
        <v>191</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t="str">
        <f>'数据-汇总表'!C20</f>
        <v>多层住宅</v>
      </c>
      <c r="B7" s="2306" t="str">
        <f t="shared" ref="B7:B13" si="1">IF(A7=0,"","经营性")</f>
        <v>经营性</v>
      </c>
      <c r="C7" s="2307" t="s">
        <v>3076</v>
      </c>
      <c r="D7" s="1053">
        <f>SUMIF(项目基本情况!D$12:I$12,C7,项目基本情况!D$14:I$14)</f>
        <v>70</v>
      </c>
      <c r="E7" s="1050">
        <f>IF(B7="","",SUMIF(项目基本情况!D$12:I$12,C7,项目基本情况!D$13:I$13))</f>
        <v>68510</v>
      </c>
      <c r="F7" s="71">
        <f>SUMIF(项目基本情况!D$12:I$12,C7,项目基本情况!D$15:I$15)</f>
        <v>68.67</v>
      </c>
      <c r="G7" s="72">
        <f t="shared" ref="G7:G11" si="2">IF(ISERROR(ROUND(POWER(1+H7,D7-F7)*(POWER(1+H7,F7)-1)/(POWER(1+H7,D7)-1),3)),0,ROUND(POWER(1+H7,D7-F7)*(POWER(1+H7,F7)-1)/(POWER(1+H7,D7)-1),3))</f>
        <v>0.997</v>
      </c>
      <c r="H7" s="801">
        <v>4.4999999999999998E-2</v>
      </c>
      <c r="I7" s="801">
        <v>0.05</v>
      </c>
      <c r="J7" s="73">
        <v>8.5000000000000006E-2</v>
      </c>
      <c r="K7" s="1253">
        <f>SUMIF('数据-汇总表'!C$19:C$33,A7,'数据-汇总表'!E$19:E$33)</f>
        <v>10848.240000000013</v>
      </c>
      <c r="L7" s="802">
        <f>L6</f>
        <v>4000</v>
      </c>
      <c r="M7" s="74">
        <f t="shared" si="0"/>
        <v>4339</v>
      </c>
      <c r="N7" s="800">
        <f>N6</f>
        <v>0.19</v>
      </c>
      <c r="O7" s="74">
        <f t="shared" ref="O7:O14" si="3">IF($N$5="成新度","——",ROUND(M7*N7,0))</f>
        <v>824</v>
      </c>
      <c r="P7" s="75">
        <f t="shared" ref="P7:P14" si="4">IF($N$5="成新度","——",M7-O7)</f>
        <v>3515</v>
      </c>
      <c r="Q7" s="803">
        <v>0.1</v>
      </c>
      <c r="R7" s="76">
        <f ca="1">SUMIF('数据-汇总表'!C$19:C$33,A7,'数据-汇总表'!R$19:R$27)</f>
        <v>4285.09</v>
      </c>
      <c r="S7" s="54">
        <f>IF('数据-汇总表'!$I$17="按面积比例",SUMIF('数据-汇总表'!C$19:C$33,A7,'数据-汇总表'!K$19:K$33),SUMIF('数据-汇总表'!C$19:C$33,A7,'数据-汇总表'!N$19:N$33))</f>
        <v>242.08</v>
      </c>
      <c r="T7" s="1445">
        <f t="shared" ref="T7:T13" si="5">ROUND($L$14*S7/10000,0)</f>
        <v>58</v>
      </c>
      <c r="U7" s="77"/>
      <c r="V7" s="78"/>
      <c r="W7" s="78"/>
      <c r="X7" s="1263"/>
      <c r="Y7" s="79"/>
      <c r="Z7" s="80"/>
      <c r="AA7" s="73"/>
      <c r="AB7" s="73"/>
      <c r="AC7" s="1263"/>
      <c r="AD7" s="81"/>
      <c r="AE7" s="1264">
        <f t="shared" ref="AE7:AE13" ca="1" si="6">IF(AN7="",0,SUMIF(INDIRECT("'"&amp;AN7&amp;"'"&amp;"!E:E"),$AE$5,INDIRECT("'"&amp;AN7&amp;"'"&amp;"!F:F")))</f>
        <v>0</v>
      </c>
      <c r="AF7" s="1805"/>
      <c r="AG7" s="146">
        <f t="shared" ref="AG7:AG13" si="7">IF(AF7="",0,AE7-AF7)</f>
        <v>0</v>
      </c>
      <c r="AH7" s="82"/>
      <c r="AI7" s="84"/>
      <c r="AJ7" s="85"/>
      <c r="AK7" s="86"/>
      <c r="AL7" s="87"/>
      <c r="AM7" s="88"/>
      <c r="AN7" s="2308"/>
      <c r="AO7" s="55" t="e">
        <f t="shared" ref="AO7:AO13" ca="1" si="8">SUMIF(INDIRECT("'"&amp;AN7&amp;"'"&amp;"!A:A"),"总价",INDIRECT("'"&amp;AN7&amp;"'"&amp;"!B:B"))</f>
        <v>#REF!</v>
      </c>
      <c r="AP7" s="2309">
        <f t="shared" ref="AP7:AP13" si="9">IF(C7="住宅",K7*L7,0)</f>
        <v>43392960.000000052</v>
      </c>
      <c r="AQ7" s="55">
        <f t="shared" ref="AQ7:AQ13" si="10">ROUND($L$14*$N$14*S7/10000,0)</f>
        <v>11</v>
      </c>
      <c r="AR7" s="55">
        <f t="shared" ref="AR7:AR13" si="11">ROUND($L$14*(1-$N$14)*S7/10000,0)</f>
        <v>47</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t="str">
        <f>'数据-汇总表'!C21</f>
        <v>自持住宅</v>
      </c>
      <c r="B8" s="2306" t="str">
        <f t="shared" si="1"/>
        <v>经营性</v>
      </c>
      <c r="C8" s="2307" t="s">
        <v>3076</v>
      </c>
      <c r="D8" s="1053">
        <f>SUMIF(项目基本情况!D$12:I$12,C8,项目基本情况!D$14:I$14)</f>
        <v>70</v>
      </c>
      <c r="E8" s="1050">
        <f>IF(B8="","",SUMIF(项目基本情况!D$12:I$12,C8,项目基本情况!D$13:I$13))</f>
        <v>68510</v>
      </c>
      <c r="F8" s="71">
        <f>SUMIF(项目基本情况!D$12:I$12,C8,项目基本情况!D$15:I$15)</f>
        <v>68.67</v>
      </c>
      <c r="G8" s="72">
        <f t="shared" si="2"/>
        <v>0.997</v>
      </c>
      <c r="H8" s="801">
        <v>4.4999999999999998E-2</v>
      </c>
      <c r="I8" s="801">
        <v>0.05</v>
      </c>
      <c r="J8" s="73">
        <v>8.5000000000000006E-2</v>
      </c>
      <c r="K8" s="1253">
        <f>SUMIF('数据-汇总表'!C$19:C$33,A8,'数据-汇总表'!E$19:E$33)</f>
        <v>31676.1</v>
      </c>
      <c r="L8" s="802">
        <f>L6</f>
        <v>4000</v>
      </c>
      <c r="M8" s="74">
        <f>ROUND(K8*L8/10000,0)</f>
        <v>12670</v>
      </c>
      <c r="N8" s="800">
        <f>N6</f>
        <v>0.19</v>
      </c>
      <c r="O8" s="74">
        <f t="shared" si="3"/>
        <v>2407</v>
      </c>
      <c r="P8" s="75">
        <f t="shared" si="4"/>
        <v>10263</v>
      </c>
      <c r="Q8" s="803">
        <v>0.05</v>
      </c>
      <c r="R8" s="76">
        <f ca="1">SUMIF('数据-汇总表'!C$19:C$33,A8,'数据-汇总表'!R$19:R$27)</f>
        <v>12512.14</v>
      </c>
      <c r="S8" s="54">
        <f>IF('数据-汇总表'!$I$17="按面积比例",SUMIF('数据-汇总表'!C$19:C$33,A8,'数据-汇总表'!K$19:K$33),SUMIF('数据-汇总表'!C$19:C$33,A8,'数据-汇总表'!N$19:N$33))</f>
        <v>706.85</v>
      </c>
      <c r="T8" s="1445">
        <f t="shared" si="5"/>
        <v>170</v>
      </c>
      <c r="U8" s="804">
        <v>3</v>
      </c>
      <c r="V8" s="805">
        <v>0.03</v>
      </c>
      <c r="W8" s="805">
        <v>0.1</v>
      </c>
      <c r="X8" s="1263"/>
      <c r="Y8" s="806">
        <v>1</v>
      </c>
      <c r="Z8" s="80"/>
      <c r="AA8" s="73"/>
      <c r="AB8" s="73"/>
      <c r="AC8" s="1263"/>
      <c r="AD8" s="81"/>
      <c r="AE8" s="1264">
        <f t="shared" ca="1" si="6"/>
        <v>67.070000000000007</v>
      </c>
      <c r="AF8" s="1805"/>
      <c r="AG8" s="146">
        <f t="shared" si="7"/>
        <v>0</v>
      </c>
      <c r="AH8" s="807"/>
      <c r="AI8" s="84">
        <v>365</v>
      </c>
      <c r="AJ8" s="85"/>
      <c r="AK8" s="808">
        <v>1.4999999999999999E-2</v>
      </c>
      <c r="AL8" s="809">
        <v>1.5E-3</v>
      </c>
      <c r="AM8" s="810">
        <v>1.4999999999999999E-2</v>
      </c>
      <c r="AN8" s="2308" t="s">
        <v>3207</v>
      </c>
      <c r="AO8" s="55">
        <f t="shared" ca="1" si="8"/>
        <v>81527</v>
      </c>
      <c r="AP8" s="2309">
        <f t="shared" si="9"/>
        <v>126704400</v>
      </c>
      <c r="AQ8" s="55">
        <f t="shared" si="10"/>
        <v>32</v>
      </c>
      <c r="AR8" s="55">
        <f t="shared" si="11"/>
        <v>137</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t="str">
        <f>'数据-汇总表'!C22</f>
        <v>商业</v>
      </c>
      <c r="B9" s="2306" t="str">
        <f t="shared" si="1"/>
        <v>经营性</v>
      </c>
      <c r="C9" s="2307" t="s">
        <v>1373</v>
      </c>
      <c r="D9" s="1053">
        <f>SUMIF(项目基本情况!D$12:I$12,C9,项目基本情况!D$14:I$14)</f>
        <v>40</v>
      </c>
      <c r="E9" s="1050">
        <f>IF(B9="","",SUMIF(项目基本情况!D$12:I$12,C9,项目基本情况!D$13:I$13))</f>
        <v>57553</v>
      </c>
      <c r="F9" s="71">
        <f>SUMIF(项目基本情况!D$12:I$12,C9,项目基本情况!D$15:I$15)</f>
        <v>38.65</v>
      </c>
      <c r="G9" s="72">
        <f t="shared" si="2"/>
        <v>0.98899999999999999</v>
      </c>
      <c r="H9" s="73">
        <v>0.05</v>
      </c>
      <c r="I9" s="73">
        <v>5.5E-2</v>
      </c>
      <c r="J9" s="73">
        <v>8.5000000000000006E-2</v>
      </c>
      <c r="K9" s="1253">
        <f>SUMIF('数据-汇总表'!C$19:C$33,A9,'数据-汇总表'!E$19:E$33)</f>
        <v>480</v>
      </c>
      <c r="L9" s="802">
        <f>L6</f>
        <v>4000</v>
      </c>
      <c r="M9" s="74">
        <f t="shared" si="0"/>
        <v>192</v>
      </c>
      <c r="N9" s="800">
        <f>N6</f>
        <v>0.19</v>
      </c>
      <c r="O9" s="74">
        <f t="shared" si="3"/>
        <v>36</v>
      </c>
      <c r="P9" s="75">
        <f t="shared" si="4"/>
        <v>156</v>
      </c>
      <c r="Q9" s="89">
        <v>0.15</v>
      </c>
      <c r="R9" s="76">
        <f ca="1">SUMIF('数据-汇总表'!C$19:C$33,A9,'数据-汇总表'!R$19:R$27)</f>
        <v>185.57000000000002</v>
      </c>
      <c r="S9" s="54">
        <f>IF('数据-汇总表'!$I$17="按面积比例",SUMIF('数据-汇总表'!C$19:C$33,A9,'数据-汇总表'!K$19:K$33),SUMIF('数据-汇总表'!C$19:C$33,A9,'数据-汇总表'!N$19:N$33))</f>
        <v>10.71</v>
      </c>
      <c r="T9" s="1445">
        <f t="shared" si="5"/>
        <v>3</v>
      </c>
      <c r="U9" s="77">
        <v>6</v>
      </c>
      <c r="V9" s="78">
        <v>0</v>
      </c>
      <c r="W9" s="78">
        <v>0.1</v>
      </c>
      <c r="X9" s="1263"/>
      <c r="Y9" s="79">
        <v>1</v>
      </c>
      <c r="Z9" s="80"/>
      <c r="AA9" s="73"/>
      <c r="AB9" s="73"/>
      <c r="AC9" s="1263"/>
      <c r="AD9" s="81"/>
      <c r="AE9" s="1264">
        <f t="shared" ca="1" si="6"/>
        <v>37.049999999999997</v>
      </c>
      <c r="AF9" s="1805"/>
      <c r="AG9" s="146">
        <f t="shared" si="7"/>
        <v>0</v>
      </c>
      <c r="AH9" s="82"/>
      <c r="AI9" s="84">
        <v>365</v>
      </c>
      <c r="AJ9" s="85"/>
      <c r="AK9" s="86">
        <v>1.4999999999999999E-2</v>
      </c>
      <c r="AL9" s="87">
        <v>2E-3</v>
      </c>
      <c r="AM9" s="810">
        <v>1.4999999999999999E-2</v>
      </c>
      <c r="AN9" s="2308" t="s">
        <v>3216</v>
      </c>
      <c r="AO9" s="55">
        <f t="shared" ca="1" si="8"/>
        <v>1129</v>
      </c>
      <c r="AP9" s="2309">
        <f t="shared" si="9"/>
        <v>0</v>
      </c>
      <c r="AQ9" s="55">
        <f t="shared" si="10"/>
        <v>0</v>
      </c>
      <c r="AR9" s="55">
        <f t="shared" si="11"/>
        <v>2</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t="str">
        <f>'数据-汇总表'!C23</f>
        <v>地下车库</v>
      </c>
      <c r="B10" s="2306" t="str">
        <f t="shared" si="1"/>
        <v>经营性</v>
      </c>
      <c r="C10" s="2307" t="s">
        <v>3158</v>
      </c>
      <c r="D10" s="1053">
        <f>SUMIF(项目基本情况!D$12:I$12,C10,项目基本情况!D$14:I$14)</f>
        <v>50</v>
      </c>
      <c r="E10" s="1050">
        <f>IF(B10="","",SUMIF(项目基本情况!D$12:I$12,C10,项目基本情况!D$13:I$13))</f>
        <v>61205</v>
      </c>
      <c r="F10" s="71">
        <f>SUMIF(项目基本情况!D$12:I$12,C10,项目基本情况!D$15:I$15)</f>
        <v>48.66</v>
      </c>
      <c r="G10" s="72">
        <f t="shared" si="2"/>
        <v>0.99199999999999999</v>
      </c>
      <c r="H10" s="801">
        <v>4.4999999999999998E-2</v>
      </c>
      <c r="I10" s="801">
        <v>0.05</v>
      </c>
      <c r="J10" s="73">
        <v>8.5000000000000006E-2</v>
      </c>
      <c r="K10" s="1253">
        <f>SUMIF('数据-汇总表'!C$19:C$33,A10,'数据-汇总表'!E$19:E$33)</f>
        <v>36043.919999999998</v>
      </c>
      <c r="L10" s="90">
        <v>2400</v>
      </c>
      <c r="M10" s="74">
        <f t="shared" si="0"/>
        <v>8651</v>
      </c>
      <c r="N10" s="800">
        <f>N6</f>
        <v>0.19</v>
      </c>
      <c r="O10" s="74">
        <f t="shared" si="3"/>
        <v>1644</v>
      </c>
      <c r="P10" s="75">
        <f t="shared" si="4"/>
        <v>7007</v>
      </c>
      <c r="Q10" s="89">
        <v>0.05</v>
      </c>
      <c r="R10" s="76">
        <f ca="1">SUMIF('数据-汇总表'!C$19:C$33,A10,'数据-汇总表'!R$19:R$27)</f>
        <v>13935.05</v>
      </c>
      <c r="S10" s="54">
        <f>IF('数据-汇总表'!$I$17="按面积比例",SUMIF('数据-汇总表'!C$19:C$33,A10,'数据-汇总表'!K$19:K$33),SUMIF('数据-汇总表'!C$19:C$33,A10,'数据-汇总表'!N$19:N$33))</f>
        <v>804.32</v>
      </c>
      <c r="T10" s="1445">
        <f t="shared" si="5"/>
        <v>193</v>
      </c>
      <c r="U10" s="77">
        <v>1</v>
      </c>
      <c r="V10" s="78">
        <v>0.03</v>
      </c>
      <c r="W10" s="78">
        <v>0.1</v>
      </c>
      <c r="X10" s="1263"/>
      <c r="Y10" s="79">
        <v>1</v>
      </c>
      <c r="Z10" s="80"/>
      <c r="AA10" s="73"/>
      <c r="AB10" s="73"/>
      <c r="AC10" s="1263"/>
      <c r="AD10" s="81"/>
      <c r="AE10" s="1264">
        <f t="shared" ca="1" si="6"/>
        <v>47.059999999999995</v>
      </c>
      <c r="AF10" s="1805"/>
      <c r="AG10" s="146">
        <f t="shared" si="7"/>
        <v>0</v>
      </c>
      <c r="AH10" s="82"/>
      <c r="AI10" s="84">
        <v>365</v>
      </c>
      <c r="AJ10" s="85"/>
      <c r="AK10" s="86">
        <v>1.4999999999999999E-2</v>
      </c>
      <c r="AL10" s="87">
        <v>1.5E-3</v>
      </c>
      <c r="AM10" s="810">
        <v>1.4999999999999999E-2</v>
      </c>
      <c r="AN10" s="2308" t="s">
        <v>3220</v>
      </c>
      <c r="AO10" s="55">
        <f t="shared" ca="1" si="8"/>
        <v>22658</v>
      </c>
      <c r="AP10" s="2309">
        <f t="shared" si="9"/>
        <v>0</v>
      </c>
      <c r="AQ10" s="55">
        <f t="shared" si="10"/>
        <v>37</v>
      </c>
      <c r="AR10" s="55">
        <f t="shared" si="11"/>
        <v>156</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t="str">
        <f>'数据-汇总表'!C24</f>
        <v>库房</v>
      </c>
      <c r="B11" s="2306" t="str">
        <f t="shared" si="1"/>
        <v>经营性</v>
      </c>
      <c r="C11" s="2307" t="s">
        <v>3184</v>
      </c>
      <c r="D11" s="1053">
        <f>SUMIF(项目基本情况!D$12:I$12,C11,项目基本情况!D$14:I$14)</f>
        <v>50</v>
      </c>
      <c r="E11" s="1050">
        <f>IF(B11="","",SUMIF(项目基本情况!D$12:I$12,C11,项目基本情况!D$13:I$13))</f>
        <v>61205</v>
      </c>
      <c r="F11" s="71">
        <f>SUMIF(项目基本情况!D$12:I$12,C11,项目基本情况!D$15:I$15)</f>
        <v>48.66</v>
      </c>
      <c r="G11" s="72">
        <f t="shared" si="2"/>
        <v>0.99199999999999999</v>
      </c>
      <c r="H11" s="801">
        <v>4.4999999999999998E-2</v>
      </c>
      <c r="I11" s="801">
        <v>0.05</v>
      </c>
      <c r="J11" s="73">
        <v>8.5000000000000006E-2</v>
      </c>
      <c r="K11" s="1253">
        <f>SUMIF('数据-汇总表'!C$19:C$33,A11,'数据-汇总表'!E$19:E$33)</f>
        <v>10172.129999999999</v>
      </c>
      <c r="L11" s="90">
        <v>2400</v>
      </c>
      <c r="M11" s="74">
        <f t="shared" si="0"/>
        <v>2441</v>
      </c>
      <c r="N11" s="91">
        <f>N6</f>
        <v>0.19</v>
      </c>
      <c r="O11" s="74">
        <f t="shared" si="3"/>
        <v>464</v>
      </c>
      <c r="P11" s="75">
        <f t="shared" si="4"/>
        <v>1977</v>
      </c>
      <c r="Q11" s="89">
        <v>0.05</v>
      </c>
      <c r="R11" s="76">
        <f ca="1">SUMIF('数据-汇总表'!C$19:C$33,A11,'数据-汇总表'!R$19:R$27)</f>
        <v>3932.6800000000003</v>
      </c>
      <c r="S11" s="54">
        <f>IF('数据-汇总表'!$I$17="按面积比例",SUMIF('数据-汇总表'!C$19:C$33,A11,'数据-汇总表'!K$19:K$33),SUMIF('数据-汇总表'!C$19:C$33,A11,'数据-汇总表'!N$19:N$33))</f>
        <v>226.99</v>
      </c>
      <c r="T11" s="1445">
        <f t="shared" si="5"/>
        <v>54</v>
      </c>
      <c r="U11" s="82">
        <v>1.5</v>
      </c>
      <c r="V11" s="73">
        <v>0.03</v>
      </c>
      <c r="W11" s="73">
        <v>0.1</v>
      </c>
      <c r="X11" s="1263"/>
      <c r="Y11" s="79">
        <v>1</v>
      </c>
      <c r="Z11" s="92"/>
      <c r="AA11" s="73"/>
      <c r="AB11" s="73"/>
      <c r="AC11" s="1263"/>
      <c r="AD11" s="81"/>
      <c r="AE11" s="1264">
        <f t="shared" ca="1" si="6"/>
        <v>47.059999999999995</v>
      </c>
      <c r="AF11" s="1805"/>
      <c r="AG11" s="146">
        <f t="shared" si="7"/>
        <v>0</v>
      </c>
      <c r="AH11" s="82"/>
      <c r="AI11" s="84">
        <v>365</v>
      </c>
      <c r="AJ11" s="85"/>
      <c r="AK11" s="93">
        <v>1.4999999999999999E-2</v>
      </c>
      <c r="AL11" s="94">
        <v>1.5E-3</v>
      </c>
      <c r="AM11" s="810">
        <v>1.4999999999999999E-2</v>
      </c>
      <c r="AN11" s="2308" t="s">
        <v>3218</v>
      </c>
      <c r="AO11" s="55">
        <f t="shared" ca="1" si="8"/>
        <v>10450</v>
      </c>
      <c r="AP11" s="2309">
        <f t="shared" si="9"/>
        <v>0</v>
      </c>
      <c r="AQ11" s="55">
        <f t="shared" si="10"/>
        <v>10</v>
      </c>
      <c r="AR11" s="55">
        <f t="shared" si="11"/>
        <v>44</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t="str">
        <f>'数据-汇总表'!C25</f>
        <v>低密度地下库房</v>
      </c>
      <c r="B12" s="2306" t="str">
        <f t="shared" si="1"/>
        <v>经营性</v>
      </c>
      <c r="C12" s="2307" t="s">
        <v>3184</v>
      </c>
      <c r="D12" s="1053">
        <f>SUMIF(项目基本情况!D$12:I$12,C12,项目基本情况!D$14:I$14)</f>
        <v>50</v>
      </c>
      <c r="E12" s="1050">
        <f>IF(B12="","",SUMIF(项目基本情况!D$12:I$12,C12,项目基本情况!D$13:I$13))</f>
        <v>61205</v>
      </c>
      <c r="F12" s="71">
        <f>SUMIF(项目基本情况!D$12:I$12,C12,项目基本情况!D$15:I$15)</f>
        <v>48.66</v>
      </c>
      <c r="G12" s="72">
        <f>IF(ISERROR(ROUND(POWER(1+H12,D12-F12)*(POWER(1+H12,F12)-1)/(POWER(1+H12,D12)-1),3)),0,ROUND(POWER(1+H12,D12-F12)*(POWER(1+H12,F12)-1)/(POWER(1+H12,D12)-1),3))</f>
        <v>0.99199999999999999</v>
      </c>
      <c r="H12" s="801">
        <v>4.4999999999999998E-2</v>
      </c>
      <c r="I12" s="801">
        <v>0.05</v>
      </c>
      <c r="J12" s="73">
        <v>8.5000000000000006E-2</v>
      </c>
      <c r="K12" s="1253">
        <f>SUMIF('数据-汇总表'!C$19:C$33,A12,'数据-汇总表'!E$19:E$33)</f>
        <v>79252.239999999991</v>
      </c>
      <c r="L12" s="90">
        <v>2400</v>
      </c>
      <c r="M12" s="74">
        <f>ROUND(K12*L12/10000,0)</f>
        <v>19021</v>
      </c>
      <c r="N12" s="91">
        <f>N6</f>
        <v>0.19</v>
      </c>
      <c r="O12" s="74">
        <f t="shared" si="3"/>
        <v>3614</v>
      </c>
      <c r="P12" s="75">
        <f t="shared" si="4"/>
        <v>15407</v>
      </c>
      <c r="Q12" s="89">
        <v>0.1</v>
      </c>
      <c r="R12" s="76">
        <f ca="1">SUMIF('数据-汇总表'!C$19:C$33,A12,'数据-汇总表'!R$19:R$27)</f>
        <v>30639.97</v>
      </c>
      <c r="S12" s="54">
        <f>IF('数据-汇总表'!$I$17="按面积比例",SUMIF('数据-汇总表'!C$19:C$33,A12,'数据-汇总表'!K$19:K$33),SUMIF('数据-汇总表'!C$19:C$33,A12,'数据-汇总表'!N$19:N$33))</f>
        <v>1768.52</v>
      </c>
      <c r="T12" s="1445">
        <f t="shared" si="5"/>
        <v>424</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08"/>
      <c r="AO12" s="55" t="e">
        <f t="shared" ca="1" si="8"/>
        <v>#REF!</v>
      </c>
      <c r="AP12" s="2309">
        <f t="shared" si="9"/>
        <v>0</v>
      </c>
      <c r="AQ12" s="55">
        <f t="shared" si="10"/>
        <v>81</v>
      </c>
      <c r="AR12" s="55">
        <f t="shared" si="11"/>
        <v>344</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2001</v>
      </c>
      <c r="B14" s="2306" t="s">
        <v>2002</v>
      </c>
      <c r="C14" s="2311" t="s">
        <v>2001</v>
      </c>
      <c r="D14" s="1053"/>
      <c r="E14" s="1050"/>
      <c r="F14" s="71"/>
      <c r="G14" s="72"/>
      <c r="H14" s="1252"/>
      <c r="I14" s="1252"/>
      <c r="J14" s="1252"/>
      <c r="K14" s="1253">
        <f>SUMIF('数据-汇总表'!C$19:C$33,A14,'数据-汇总表'!E$19:E$33)</f>
        <v>4741.939999999996</v>
      </c>
      <c r="L14" s="90">
        <f>L10</f>
        <v>2400</v>
      </c>
      <c r="M14" s="74">
        <f t="shared" si="0"/>
        <v>1138</v>
      </c>
      <c r="N14" s="91">
        <f>N6</f>
        <v>0.19</v>
      </c>
      <c r="O14" s="74">
        <f t="shared" si="3"/>
        <v>216</v>
      </c>
      <c r="P14" s="75">
        <f t="shared" si="4"/>
        <v>922</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2003</v>
      </c>
      <c r="B15" s="2306" t="s">
        <v>2002</v>
      </c>
      <c r="C15" s="2311" t="s">
        <v>2004</v>
      </c>
      <c r="D15" s="1053"/>
      <c r="E15" s="1050"/>
      <c r="F15" s="71"/>
      <c r="G15" s="72"/>
      <c r="H15" s="1252"/>
      <c r="I15" s="1252"/>
      <c r="J15" s="1252"/>
      <c r="K15" s="1253">
        <f>SUMIF('数据-汇总表'!C$19:C$33,A15,'数据-汇总表'!E$19:E$33)</f>
        <v>1920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2005</v>
      </c>
      <c r="B16" s="96"/>
      <c r="C16" s="1007"/>
      <c r="D16" s="2313"/>
      <c r="E16" s="96"/>
      <c r="F16" s="96"/>
      <c r="G16" s="97">
        <f>ROUND(SUMPRODUCT(G6:G13,K6:K13)/SUMPRODUCT((G6:G13&gt;0)*(K6:K13)),3)</f>
        <v>0.99399999999999999</v>
      </c>
      <c r="H16" s="98">
        <f>ROUND(SUMPRODUCT(H6:H13,K6:K13)/SUMPRODUCT((H6:H13&gt;0)*(K6:K13)),3)</f>
        <v>4.4999999999999998E-2</v>
      </c>
      <c r="I16" s="99"/>
      <c r="J16" s="99"/>
      <c r="K16" s="100">
        <f>SUM(K6:K15)</f>
        <v>219161.37999999998</v>
      </c>
      <c r="L16" s="101">
        <f>ROUND(M16*10000/SUM(K6:K14),0)</f>
        <v>3041</v>
      </c>
      <c r="M16" s="101">
        <f>SUM(M6:M14)</f>
        <v>66063</v>
      </c>
      <c r="N16" s="102">
        <f>ROUND(SUMPRODUCT(M6:M14,N6:N14)/M16,3)</f>
        <v>0.19</v>
      </c>
      <c r="O16" s="101">
        <f>SUM(O6:O14)</f>
        <v>12551</v>
      </c>
      <c r="P16" s="101">
        <f>SUM(P6:P14)</f>
        <v>53512</v>
      </c>
      <c r="Q16" s="103">
        <f>ROUND(SUMPRODUCT(Q6:Q13,K6:K13)/SUMPRODUCT((Q6:Q13&gt;0)*(K6:K13)),2)</f>
        <v>0.08</v>
      </c>
      <c r="R16" s="1257">
        <f ca="1">SUM(R6:R13)</f>
        <v>82881.200000000012</v>
      </c>
      <c r="S16" s="104">
        <f>SUM(S6:S13)</f>
        <v>4741.93</v>
      </c>
      <c r="T16" s="105">
        <f>IF(SUMIF(T6:T13,"&lt;9E307")=M14,SUMIF(T6:T13,"&lt;9E307"),"有误，请检查")</f>
        <v>1138</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2006</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2007</v>
      </c>
      <c r="B19" s="111">
        <v>0</v>
      </c>
      <c r="C19" s="2276" t="s">
        <v>2008</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2009</v>
      </c>
      <c r="B20" s="112">
        <v>2</v>
      </c>
      <c r="C20" s="2276" t="s">
        <v>2010</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2011</v>
      </c>
      <c r="B21" s="112">
        <v>0.4</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2012</v>
      </c>
      <c r="B22" s="113">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2013</v>
      </c>
      <c r="B23" s="113">
        <f>B19+B21</f>
        <v>0.4</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2014</v>
      </c>
      <c r="B24" s="114">
        <f>B20-B21</f>
        <v>1.6</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2015</v>
      </c>
      <c r="B26" s="2319" t="s">
        <v>2016</v>
      </c>
      <c r="C26" s="2320" t="s">
        <v>2017</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2018</v>
      </c>
      <c r="B27" s="115"/>
      <c r="C27" s="1765" t="s">
        <v>2019</v>
      </c>
      <c r="D27" s="2322"/>
      <c r="E27" s="1429"/>
      <c r="F27" s="1429"/>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2020</v>
      </c>
      <c r="B28" s="118"/>
      <c r="C28" s="2325"/>
      <c r="D28" s="2322"/>
      <c r="E28" s="1429"/>
      <c r="F28" s="1429"/>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2021</v>
      </c>
      <c r="B29" s="120"/>
      <c r="C29" s="1765" t="s">
        <v>2022</v>
      </c>
      <c r="D29" s="2322"/>
      <c r="E29" s="1429"/>
      <c r="F29" s="1429"/>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2023</v>
      </c>
      <c r="B30" s="723">
        <v>200</v>
      </c>
      <c r="C30" s="2325"/>
      <c r="D30" s="2322"/>
      <c r="E30" s="1429"/>
      <c r="F30" s="1429"/>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2024</v>
      </c>
      <c r="B31" s="119">
        <f>B30-B32</f>
        <v>100</v>
      </c>
      <c r="C31" s="1765"/>
      <c r="D31" s="2322"/>
      <c r="E31" s="1429"/>
      <c r="F31" s="1429"/>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2025</v>
      </c>
      <c r="B32" s="724">
        <v>100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2026</v>
      </c>
      <c r="B33" s="725">
        <v>0.03</v>
      </c>
      <c r="C33" s="1764" t="s">
        <v>2027</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2028</v>
      </c>
      <c r="B34" s="121">
        <v>0.03</v>
      </c>
      <c r="C34" s="1764" t="s">
        <v>2029</v>
      </c>
      <c r="D34" s="2277" t="s">
        <v>2030</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2031</v>
      </c>
      <c r="B35" s="118">
        <v>200</v>
      </c>
      <c r="C35" s="1764" t="s">
        <v>2032</v>
      </c>
      <c r="D35" s="2322"/>
      <c r="E35" s="1429"/>
      <c r="F35" s="1429"/>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2033</v>
      </c>
      <c r="B36" s="122">
        <v>1.4999999999999999E-2</v>
      </c>
      <c r="C36" s="1764" t="s">
        <v>2034</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2035</v>
      </c>
      <c r="B37" s="123">
        <v>0.02</v>
      </c>
      <c r="C37" s="1764" t="s">
        <v>2036</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2037</v>
      </c>
      <c r="B38" s="121">
        <v>0.02</v>
      </c>
      <c r="C38" s="1764" t="s">
        <v>2036</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2038</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2039</v>
      </c>
      <c r="B40" s="1302">
        <f ca="1">存贷款利率!G1</f>
        <v>4.7500000000000001E-2</v>
      </c>
      <c r="C40" s="1764" t="s">
        <v>2040</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2041</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2042</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2043</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2044</v>
      </c>
      <c r="B44" s="127">
        <v>0.05</v>
      </c>
      <c r="C44" s="1764" t="s">
        <v>2045</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2046</v>
      </c>
      <c r="B45" s="125">
        <v>0.03</v>
      </c>
      <c r="C45" s="1765" t="s">
        <v>2047</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2048</v>
      </c>
      <c r="B46" s="125">
        <v>0.02</v>
      </c>
      <c r="C46" s="1765" t="s">
        <v>2049</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2050</v>
      </c>
      <c r="B47" s="128"/>
      <c r="C47" s="1765" t="s">
        <v>2051</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2052</v>
      </c>
      <c r="B48" s="129">
        <v>0.03</v>
      </c>
      <c r="C48" s="1772" t="s">
        <v>2053</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2054</v>
      </c>
      <c r="B49" s="125">
        <v>5.0000000000000001E-4</v>
      </c>
      <c r="C49" s="1772" t="s">
        <v>2055</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2056</v>
      </c>
      <c r="B50" s="130">
        <v>1.2E-2</v>
      </c>
      <c r="C50" s="1429"/>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2057</v>
      </c>
      <c r="B51" s="131">
        <v>0.12</v>
      </c>
      <c r="C51" s="1429"/>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2058</v>
      </c>
      <c r="B52" s="132">
        <f>SUMIF(A54:A63,B53,B54:B63)</f>
        <v>1.5</v>
      </c>
      <c r="C52" s="1429"/>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2059</v>
      </c>
      <c r="B53" s="2335" t="s">
        <v>56</v>
      </c>
      <c r="C53" s="1429" t="s">
        <v>2060</v>
      </c>
      <c r="D53" s="2336" t="s">
        <v>2061</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2062</v>
      </c>
      <c r="B54" s="83"/>
      <c r="C54" s="1429">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2063</v>
      </c>
      <c r="B55" s="83"/>
      <c r="C55" s="1429">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2064</v>
      </c>
      <c r="B56" s="83"/>
      <c r="C56" s="1429">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2065</v>
      </c>
      <c r="B57" s="83"/>
      <c r="C57" s="1429">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2066</v>
      </c>
      <c r="B58" s="83"/>
      <c r="C58" s="1429">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2067</v>
      </c>
      <c r="B59" s="83">
        <v>1.5</v>
      </c>
      <c r="C59" s="1429">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2068</v>
      </c>
      <c r="B60" s="83"/>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2069</v>
      </c>
      <c r="B61" s="83"/>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2070</v>
      </c>
      <c r="B62" s="83"/>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2071</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229" t="s">
        <v>2072</v>
      </c>
      <c r="B1" s="3230"/>
      <c r="C1" s="3230"/>
      <c r="D1" s="3230"/>
      <c r="E1" s="3230"/>
      <c r="F1" s="3230"/>
      <c r="G1" s="323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2073</v>
      </c>
      <c r="D2" s="2365"/>
      <c r="E2" s="2366"/>
      <c r="F2" s="2285"/>
      <c r="G2" s="2364" t="s">
        <v>2074</v>
      </c>
      <c r="H2" s="2367"/>
      <c r="I2" s="2367"/>
      <c r="J2" s="2367"/>
      <c r="K2" s="2367"/>
      <c r="L2" s="2367"/>
      <c r="M2" s="2367"/>
      <c r="N2" s="2367"/>
      <c r="O2" s="2367"/>
      <c r="P2" s="2367"/>
      <c r="Q2" s="2367"/>
      <c r="R2" s="2367"/>
    </row>
    <row r="3" spans="1:29" ht="27">
      <c r="A3" s="414" t="s">
        <v>2075</v>
      </c>
      <c r="B3" s="1270" t="s">
        <v>2076</v>
      </c>
      <c r="C3" s="2964" t="s">
        <v>3195</v>
      </c>
      <c r="D3" s="2369"/>
      <c r="E3" s="430" t="s">
        <v>2075</v>
      </c>
      <c r="F3" s="2370" t="s">
        <v>2077</v>
      </c>
      <c r="G3" s="2371"/>
      <c r="H3" s="2367"/>
      <c r="I3" s="2367"/>
      <c r="J3" s="2367"/>
      <c r="K3" s="2367"/>
      <c r="L3" s="2367"/>
      <c r="M3" s="2367"/>
      <c r="N3" s="2367"/>
      <c r="O3" s="2367"/>
      <c r="P3" s="2367"/>
      <c r="Q3" s="2367"/>
      <c r="R3" s="2367"/>
    </row>
    <row r="4" spans="1:29" ht="15">
      <c r="A4" s="430"/>
      <c r="B4" s="1796" t="s">
        <v>2078</v>
      </c>
      <c r="C4" s="2965" t="s">
        <v>3197</v>
      </c>
      <c r="D4" s="2369"/>
      <c r="E4" s="2372"/>
      <c r="F4" s="42" t="s">
        <v>2079</v>
      </c>
      <c r="G4" s="2373"/>
      <c r="H4" s="2367"/>
      <c r="I4" s="2367"/>
      <c r="J4" s="2367"/>
      <c r="K4" s="2367"/>
      <c r="L4" s="2367"/>
      <c r="M4" s="2367"/>
      <c r="N4" s="2367"/>
      <c r="O4" s="2367"/>
      <c r="P4" s="2367"/>
      <c r="Q4" s="2367"/>
      <c r="R4" s="2367"/>
    </row>
    <row r="5" spans="1:29" ht="15">
      <c r="A5" s="430"/>
      <c r="B5" s="1796" t="s">
        <v>2080</v>
      </c>
      <c r="C5" s="2965"/>
      <c r="D5" s="2369"/>
      <c r="E5" s="2372"/>
      <c r="F5" s="1796" t="s">
        <v>2081</v>
      </c>
      <c r="G5" s="2373"/>
      <c r="H5" s="2367"/>
      <c r="I5" s="2367"/>
      <c r="J5" s="2367"/>
      <c r="K5" s="2367"/>
      <c r="L5" s="2367"/>
      <c r="M5" s="2367"/>
      <c r="N5" s="2367"/>
      <c r="O5" s="2367"/>
      <c r="P5" s="2367"/>
      <c r="Q5" s="2367"/>
      <c r="R5" s="2367"/>
    </row>
    <row r="6" spans="1:29" ht="15">
      <c r="A6" s="430"/>
      <c r="B6" s="1796" t="s">
        <v>2082</v>
      </c>
      <c r="C6" s="2966" t="s">
        <v>3195</v>
      </c>
      <c r="D6" s="2369"/>
      <c r="E6" s="2372"/>
      <c r="F6" s="1796" t="s">
        <v>2083</v>
      </c>
      <c r="G6" s="2373"/>
      <c r="H6" s="2367"/>
      <c r="I6" s="2367"/>
      <c r="J6" s="2367"/>
      <c r="K6" s="2367"/>
      <c r="L6" s="2367"/>
      <c r="M6" s="2367"/>
      <c r="N6" s="2367"/>
      <c r="O6" s="2367"/>
      <c r="P6" s="2367"/>
      <c r="Q6" s="2367"/>
      <c r="R6" s="2367"/>
    </row>
    <row r="7" spans="1:29" ht="15.75" thickBot="1">
      <c r="A7" s="430"/>
      <c r="B7" s="1796" t="s">
        <v>2081</v>
      </c>
      <c r="C7" s="2966" t="s">
        <v>3198</v>
      </c>
      <c r="D7" s="2374"/>
      <c r="E7" s="2375"/>
      <c r="F7" s="2376" t="s">
        <v>2084</v>
      </c>
      <c r="G7" s="2377"/>
      <c r="H7" s="2367"/>
      <c r="I7" s="2367"/>
      <c r="J7" s="2367"/>
      <c r="K7" s="2367"/>
      <c r="L7" s="2367"/>
      <c r="M7" s="2367"/>
      <c r="N7" s="2367"/>
      <c r="O7" s="2367"/>
      <c r="P7" s="2367"/>
      <c r="Q7" s="2367"/>
      <c r="R7" s="2367"/>
    </row>
    <row r="8" spans="1:29" ht="15">
      <c r="A8" s="430"/>
      <c r="B8" s="1796" t="s">
        <v>2083</v>
      </c>
      <c r="C8" s="2966" t="s">
        <v>3200</v>
      </c>
      <c r="D8" s="2374"/>
      <c r="E8" s="2374"/>
      <c r="F8" s="1135"/>
      <c r="G8" s="1135"/>
      <c r="H8" s="2367"/>
      <c r="I8" s="2367"/>
      <c r="J8" s="2367"/>
      <c r="K8" s="2367"/>
      <c r="L8" s="2367"/>
      <c r="M8" s="2367"/>
      <c r="N8" s="2367"/>
      <c r="O8" s="2367"/>
      <c r="P8" s="2367"/>
      <c r="Q8" s="2367"/>
      <c r="R8" s="2367"/>
    </row>
    <row r="9" spans="1:29" ht="15">
      <c r="A9" s="430"/>
      <c r="B9" s="1796" t="s">
        <v>2085</v>
      </c>
      <c r="C9" s="2965" t="s">
        <v>3201</v>
      </c>
      <c r="D9" s="2369"/>
      <c r="E9" s="2374"/>
      <c r="F9" s="1135"/>
      <c r="G9" s="1135"/>
      <c r="H9" s="2367"/>
      <c r="I9" s="2367"/>
      <c r="J9" s="2367"/>
      <c r="K9" s="2367"/>
      <c r="L9" s="2367"/>
      <c r="M9" s="2367"/>
      <c r="N9" s="2367"/>
      <c r="O9" s="2367"/>
      <c r="P9" s="2367"/>
      <c r="Q9" s="2367"/>
      <c r="R9" s="2367"/>
    </row>
    <row r="10" spans="1:29" s="116" customFormat="1" ht="15.75" thickBot="1">
      <c r="A10" s="2378"/>
      <c r="B10" s="2379" t="s">
        <v>2086</v>
      </c>
      <c r="C10" s="2967" t="s">
        <v>3294</v>
      </c>
      <c r="D10" s="2369"/>
      <c r="E10" s="2369"/>
      <c r="F10" s="1135"/>
      <c r="G10" s="1135"/>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3"/>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2087</v>
      </c>
      <c r="B13" s="2384"/>
      <c r="C13" s="2384"/>
      <c r="D13" s="2391"/>
      <c r="E13" s="2384"/>
      <c r="F13" s="2384"/>
      <c r="G13" s="2384"/>
    </row>
    <row r="14" spans="1:29" ht="15.75" thickBot="1">
      <c r="A14" s="2395"/>
      <c r="B14" s="2396"/>
      <c r="C14" s="2397" t="s">
        <v>2088</v>
      </c>
      <c r="D14" s="2369"/>
      <c r="E14" s="2398"/>
      <c r="F14" s="2398"/>
      <c r="G14" s="2364" t="s">
        <v>2089</v>
      </c>
    </row>
    <row r="15" spans="1:29" ht="27">
      <c r="A15" s="67" t="s">
        <v>2090</v>
      </c>
      <c r="B15" s="1269" t="s">
        <v>2076</v>
      </c>
      <c r="C15" s="2399" t="str">
        <f>C3</f>
        <v>一般</v>
      </c>
      <c r="D15" s="2369"/>
      <c r="E15" s="2400" t="s">
        <v>2091</v>
      </c>
      <c r="F15" s="1269" t="s">
        <v>2092</v>
      </c>
      <c r="G15" s="134">
        <f>G3</f>
        <v>0</v>
      </c>
    </row>
    <row r="16" spans="1:29" ht="15">
      <c r="A16" s="644"/>
      <c r="B16" s="2401" t="s">
        <v>2078</v>
      </c>
      <c r="C16" s="2402" t="str">
        <f>C4</f>
        <v>较差</v>
      </c>
      <c r="D16" s="2369"/>
      <c r="E16" s="2403"/>
      <c r="F16" s="2404" t="s">
        <v>2079</v>
      </c>
      <c r="G16" s="135">
        <f>G4</f>
        <v>0</v>
      </c>
    </row>
    <row r="17" spans="1:18" ht="15">
      <c r="A17" s="644"/>
      <c r="B17" s="2401" t="s">
        <v>2080</v>
      </c>
      <c r="C17" s="2402">
        <f>C5</f>
        <v>0</v>
      </c>
      <c r="D17" s="2374"/>
      <c r="E17" s="2403"/>
      <c r="F17" s="2404" t="s">
        <v>2093</v>
      </c>
      <c r="G17" s="1570"/>
    </row>
    <row r="18" spans="1:18" ht="15">
      <c r="A18" s="644"/>
      <c r="B18" s="2404" t="s">
        <v>2082</v>
      </c>
      <c r="C18" s="135" t="str">
        <f>C6</f>
        <v>一般</v>
      </c>
      <c r="D18" s="2374"/>
      <c r="E18" s="2403"/>
      <c r="F18" s="2404" t="s">
        <v>2084</v>
      </c>
      <c r="G18" s="135">
        <f>G7</f>
        <v>0</v>
      </c>
    </row>
    <row r="19" spans="1:18" ht="15">
      <c r="A19" s="644"/>
      <c r="B19" s="2404" t="s">
        <v>2094</v>
      </c>
      <c r="C19" s="2968" t="s">
        <v>3203</v>
      </c>
      <c r="D19" s="2369"/>
      <c r="E19" s="2403"/>
      <c r="F19" s="1796" t="s">
        <v>2081</v>
      </c>
      <c r="G19" s="135">
        <f>G5</f>
        <v>0</v>
      </c>
    </row>
    <row r="20" spans="1:18" ht="15">
      <c r="A20" s="644"/>
      <c r="B20" s="2404" t="s">
        <v>2095</v>
      </c>
      <c r="C20" s="2402" t="str">
        <f>C9</f>
        <v>一般</v>
      </c>
      <c r="D20" s="2374"/>
      <c r="E20" s="2403"/>
      <c r="F20" s="1796" t="s">
        <v>2096</v>
      </c>
      <c r="G20" s="135">
        <f>G6</f>
        <v>0</v>
      </c>
    </row>
    <row r="21" spans="1:18" ht="15">
      <c r="A21" s="644"/>
      <c r="B21" s="1796" t="s">
        <v>2081</v>
      </c>
      <c r="C21" s="135" t="str">
        <f>C7</f>
        <v>一般</v>
      </c>
      <c r="D21" s="2369"/>
      <c r="E21" s="2403"/>
      <c r="F21" s="2404" t="s">
        <v>2097</v>
      </c>
      <c r="G21" s="2405"/>
    </row>
    <row r="22" spans="1:18" ht="13.5" customHeight="1">
      <c r="A22" s="644"/>
      <c r="B22" s="1796" t="s">
        <v>2083</v>
      </c>
      <c r="C22" s="135" t="str">
        <f>C8</f>
        <v>七通</v>
      </c>
      <c r="D22" s="2369"/>
      <c r="E22" s="2403"/>
      <c r="F22" s="2404" t="s">
        <v>2086</v>
      </c>
      <c r="G22" s="1570"/>
    </row>
    <row r="23" spans="1:18" s="2367" customFormat="1" ht="15.75" thickBot="1">
      <c r="A23" s="644"/>
      <c r="B23" s="2404" t="s">
        <v>2097</v>
      </c>
      <c r="C23" s="2405" t="s">
        <v>3204</v>
      </c>
      <c r="D23" s="2392"/>
      <c r="E23" s="2406"/>
      <c r="F23" s="2407" t="s">
        <v>2098</v>
      </c>
      <c r="G23" s="2408"/>
      <c r="H23" s="2392"/>
      <c r="I23" s="2393"/>
      <c r="J23" s="2392"/>
      <c r="K23" s="2392"/>
      <c r="L23" s="2393"/>
      <c r="M23" s="2392"/>
      <c r="N23" s="2392"/>
      <c r="O23" s="2393"/>
      <c r="P23" s="2392"/>
      <c r="Q23" s="2392"/>
      <c r="R23" s="2394"/>
    </row>
    <row r="24" spans="1:18" s="2367" customFormat="1" ht="15.75" thickBot="1">
      <c r="A24" s="2409"/>
      <c r="B24" s="2407" t="s">
        <v>2099</v>
      </c>
      <c r="C24" s="136"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1" sqref="G11"/>
    </sheetView>
  </sheetViews>
  <sheetFormatPr defaultRowHeight="13.5"/>
  <cols>
    <col min="1" max="1" width="23.375" style="1739" customWidth="1"/>
    <col min="2" max="9" width="15.75" style="1739" customWidth="1"/>
    <col min="10" max="16384" width="9" style="1739"/>
  </cols>
  <sheetData>
    <row r="1" spans="1:10" ht="16.5">
      <c r="A1" s="1744" t="s">
        <v>1361</v>
      </c>
      <c r="B1" s="1744">
        <f>SUM(B14:B23)</f>
        <v>388977.38</v>
      </c>
      <c r="C1" s="1743"/>
      <c r="D1" s="1743"/>
      <c r="E1" s="1743"/>
      <c r="F1" s="1743"/>
      <c r="G1" s="1741"/>
    </row>
    <row r="2" spans="1:10" ht="16.5">
      <c r="A2" s="1744" t="s">
        <v>1349</v>
      </c>
      <c r="B2" s="1744">
        <f>SUM(C14:C23)</f>
        <v>145422.52000000002</v>
      </c>
      <c r="C2" s="1743"/>
      <c r="D2" s="1743"/>
      <c r="E2" s="1743"/>
      <c r="F2" s="1743"/>
      <c r="G2" s="1741"/>
    </row>
    <row r="3" spans="1:10" ht="16.5">
      <c r="A3" s="1744" t="s">
        <v>1358</v>
      </c>
      <c r="B3" s="1745">
        <f>项目基本情况!D3</f>
        <v>43444</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790992</v>
      </c>
      <c r="C5" s="1744">
        <f ca="1">ROUND(B5*10000/$B$1,0)</f>
        <v>20335</v>
      </c>
      <c r="D5" s="1744">
        <f ca="1">ROUND(B5*10000/$B$2,0)</f>
        <v>54393</v>
      </c>
      <c r="E5" s="1743"/>
      <c r="F5" s="1741"/>
      <c r="G5" s="1741"/>
    </row>
    <row r="6" spans="1:10" ht="16.5">
      <c r="A6" s="1744" t="s">
        <v>1352</v>
      </c>
      <c r="B6" s="1744">
        <f ca="1">SUM(G14:G23)</f>
        <v>790992</v>
      </c>
      <c r="C6" s="1744">
        <f ca="1">ROUND(B6*10000/$B$1,0)</f>
        <v>20335</v>
      </c>
      <c r="D6" s="1744">
        <f ca="1">ROUND(B6*10000/$B$2,0)</f>
        <v>54393</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219161.38</v>
      </c>
      <c r="C14" s="1742">
        <f>结果表!C118</f>
        <v>82881.19</v>
      </c>
      <c r="D14" s="1742">
        <f ca="1">结果表!H118</f>
        <v>479297</v>
      </c>
      <c r="E14" s="1742">
        <f ca="1">ROUND(D14*10000/B14,0)</f>
        <v>21870</v>
      </c>
      <c r="F14" s="1742">
        <f ca="1">ROUND(D14*10000/C14,0)</f>
        <v>57829</v>
      </c>
      <c r="G14" s="1742">
        <f ca="1">结果表!D122</f>
        <v>479297</v>
      </c>
      <c r="H14" s="1742" t="str">
        <f>结果表!D124</f>
        <v>——</v>
      </c>
      <c r="I14" s="1742" t="str">
        <f>结果表!D126</f>
        <v>——</v>
      </c>
      <c r="J14" s="1741"/>
    </row>
    <row r="15" spans="1:10" ht="16.5">
      <c r="A15" s="1740" t="s">
        <v>1345</v>
      </c>
      <c r="B15" s="1747">
        <f>[1]系统读取表!$B$14</f>
        <v>169816</v>
      </c>
      <c r="C15" s="1747">
        <f>[1]系统读取表!$C$14</f>
        <v>62541.33</v>
      </c>
      <c r="D15" s="1747">
        <f>[2]结果表!$G$19</f>
        <v>311695</v>
      </c>
      <c r="E15" s="1742">
        <f t="shared" ref="E15:E23" si="0">ROUND(D15*10000/B15,0)</f>
        <v>18355</v>
      </c>
      <c r="F15" s="1742">
        <f t="shared" ref="F15:F23" si="1">ROUND(D15*10000/C15,0)</f>
        <v>49838</v>
      </c>
      <c r="G15" s="1748">
        <f>D15</f>
        <v>311695</v>
      </c>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5" t="s">
        <v>2100</v>
      </c>
      <c r="B1" s="2415"/>
      <c r="C1" s="2416"/>
      <c r="D1" s="2415"/>
      <c r="E1" s="2415"/>
      <c r="F1" s="2417" t="s">
        <v>2101</v>
      </c>
      <c r="G1" s="2070" t="s">
        <v>2102</v>
      </c>
      <c r="H1" s="2418" t="str">
        <f>IF(G1="现房","——","估价对象范围")</f>
        <v>估价对象范围</v>
      </c>
      <c r="I1" s="2419" t="s">
        <v>3341</v>
      </c>
    </row>
    <row r="2" spans="1:12" ht="21.75" customHeight="1" thickBot="1">
      <c r="A2" s="3264" t="str">
        <f>项目基本情况!S2</f>
        <v>北京市顺义区高丽营镇于庄03-31地块出让国有建设用地使用权及在建建筑物房地产</v>
      </c>
      <c r="B2" s="3265"/>
      <c r="C2" s="3265"/>
      <c r="D2" s="3265"/>
      <c r="E2" s="3265"/>
      <c r="F2" s="3265"/>
      <c r="G2" s="3265"/>
      <c r="H2" s="3265"/>
      <c r="I2" s="3266"/>
    </row>
    <row r="3" spans="1:12" ht="12.75">
      <c r="A3" s="3268" t="s">
        <v>2103</v>
      </c>
      <c r="B3" s="3269"/>
      <c r="C3" s="3269"/>
      <c r="D3" s="3269"/>
      <c r="E3" s="3269"/>
      <c r="F3" s="3269"/>
      <c r="G3" s="3269"/>
      <c r="H3" s="3269"/>
      <c r="I3" s="3269"/>
    </row>
    <row r="4" spans="1:12" ht="14.25">
      <c r="A4" s="2422" t="s">
        <v>2104</v>
      </c>
      <c r="B4" s="2423" t="s">
        <v>2105</v>
      </c>
      <c r="C4" s="2424" t="s">
        <v>3206</v>
      </c>
      <c r="D4" s="2424" t="s">
        <v>3208</v>
      </c>
      <c r="E4" s="3261" t="s">
        <v>2106</v>
      </c>
      <c r="F4" s="3262"/>
      <c r="G4" s="3262"/>
      <c r="H4" s="3262"/>
      <c r="I4" s="327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244" t="s">
        <v>2107</v>
      </c>
      <c r="B5" s="3128">
        <v>25</v>
      </c>
      <c r="C5" s="3247"/>
      <c r="D5" s="3267"/>
      <c r="E5" s="139" t="s">
        <v>2108</v>
      </c>
      <c r="F5" s="2426"/>
      <c r="G5" s="2426"/>
      <c r="H5" s="2426"/>
      <c r="I5" s="1832"/>
    </row>
    <row r="6" spans="1:12" ht="12.75">
      <c r="A6" s="3244"/>
      <c r="B6" s="3128"/>
      <c r="C6" s="3248"/>
      <c r="D6" s="3267"/>
      <c r="E6" s="139" t="s">
        <v>2109</v>
      </c>
      <c r="F6" s="2426"/>
      <c r="G6" s="2426"/>
      <c r="H6" s="2426"/>
      <c r="I6" s="1832"/>
    </row>
    <row r="7" spans="1:12" ht="12.75">
      <c r="A7" s="3244"/>
      <c r="B7" s="3128"/>
      <c r="C7" s="3249"/>
      <c r="D7" s="3267"/>
      <c r="E7" s="139" t="s">
        <v>2110</v>
      </c>
      <c r="F7" s="2426"/>
      <c r="G7" s="2426"/>
      <c r="H7" s="2426"/>
      <c r="I7" s="1832"/>
    </row>
    <row r="8" spans="1:12" ht="12.75">
      <c r="A8" s="3244" t="s">
        <v>2111</v>
      </c>
      <c r="B8" s="3128">
        <v>15</v>
      </c>
      <c r="C8" s="3247"/>
      <c r="D8" s="3267"/>
      <c r="E8" s="139" t="s">
        <v>2112</v>
      </c>
      <c r="F8" s="2426"/>
      <c r="G8" s="2426"/>
      <c r="H8" s="2426"/>
      <c r="I8" s="1832"/>
    </row>
    <row r="9" spans="1:12" ht="12.75">
      <c r="A9" s="3244"/>
      <c r="B9" s="3128"/>
      <c r="C9" s="3249"/>
      <c r="D9" s="3267"/>
      <c r="E9" s="139" t="s">
        <v>2113</v>
      </c>
      <c r="F9" s="2426"/>
      <c r="G9" s="2426"/>
      <c r="H9" s="2426"/>
      <c r="I9" s="1832"/>
    </row>
    <row r="10" spans="1:12" ht="12.75">
      <c r="A10" s="3244" t="s">
        <v>2114</v>
      </c>
      <c r="B10" s="3128">
        <v>15</v>
      </c>
      <c r="C10" s="3247"/>
      <c r="D10" s="3267"/>
      <c r="E10" s="139" t="s">
        <v>2115</v>
      </c>
      <c r="F10" s="2426"/>
      <c r="G10" s="2426"/>
      <c r="H10" s="2426"/>
      <c r="I10" s="1832"/>
    </row>
    <row r="11" spans="1:12" ht="12.75">
      <c r="A11" s="3244"/>
      <c r="B11" s="3128"/>
      <c r="C11" s="3249"/>
      <c r="D11" s="3267"/>
      <c r="E11" s="139" t="s">
        <v>2116</v>
      </c>
      <c r="F11" s="2426"/>
      <c r="G11" s="2426"/>
      <c r="H11" s="2426"/>
      <c r="I11" s="1832"/>
    </row>
    <row r="12" spans="1:12" ht="12.75">
      <c r="A12" s="3244" t="s">
        <v>2117</v>
      </c>
      <c r="B12" s="3128">
        <v>15</v>
      </c>
      <c r="C12" s="3247"/>
      <c r="D12" s="3267"/>
      <c r="E12" s="139" t="s">
        <v>2118</v>
      </c>
      <c r="F12" s="2426"/>
      <c r="G12" s="2426"/>
      <c r="H12" s="2426"/>
      <c r="I12" s="1832"/>
    </row>
    <row r="13" spans="1:12" ht="12.75">
      <c r="A13" s="3244"/>
      <c r="B13" s="3128"/>
      <c r="C13" s="3249"/>
      <c r="D13" s="3267"/>
      <c r="E13" s="139" t="s">
        <v>2119</v>
      </c>
      <c r="F13" s="2426"/>
      <c r="G13" s="2426"/>
      <c r="H13" s="2426"/>
      <c r="I13" s="1832"/>
    </row>
    <row r="14" spans="1:12" ht="12.75">
      <c r="A14" s="3244" t="s">
        <v>2120</v>
      </c>
      <c r="B14" s="3128">
        <v>30</v>
      </c>
      <c r="C14" s="3247">
        <v>5</v>
      </c>
      <c r="D14" s="3267">
        <v>5</v>
      </c>
      <c r="E14" s="139" t="s">
        <v>2121</v>
      </c>
      <c r="F14" s="2426"/>
      <c r="G14" s="2426"/>
      <c r="H14" s="2426"/>
      <c r="I14" s="1832"/>
    </row>
    <row r="15" spans="1:12" ht="12.75">
      <c r="A15" s="3244"/>
      <c r="B15" s="3128"/>
      <c r="C15" s="3248"/>
      <c r="D15" s="3267"/>
      <c r="E15" s="139" t="s">
        <v>2122</v>
      </c>
      <c r="F15" s="2426"/>
      <c r="G15" s="2426"/>
      <c r="H15" s="2426"/>
      <c r="I15" s="1832"/>
    </row>
    <row r="16" spans="1:12" ht="12.75">
      <c r="A16" s="3244"/>
      <c r="B16" s="3128"/>
      <c r="C16" s="3249"/>
      <c r="D16" s="3267"/>
      <c r="E16" s="139" t="s">
        <v>2123</v>
      </c>
      <c r="F16" s="2426"/>
      <c r="G16" s="2426"/>
      <c r="H16" s="2426"/>
      <c r="I16" s="1832"/>
    </row>
    <row r="17" spans="1:35" ht="15">
      <c r="A17" s="2427" t="s">
        <v>2124</v>
      </c>
      <c r="B17" s="63"/>
      <c r="C17" s="140">
        <f>SUM(C5:C16)</f>
        <v>5</v>
      </c>
      <c r="D17" s="140">
        <f>SUM(D5:D16)</f>
        <v>5</v>
      </c>
      <c r="E17" s="137"/>
      <c r="F17" s="137"/>
      <c r="G17" s="137"/>
      <c r="H17" s="137"/>
      <c r="I17" s="137"/>
      <c r="K17" s="2425"/>
      <c r="L17" s="2428" t="s">
        <v>2125</v>
      </c>
      <c r="M17" s="2428" t="s">
        <v>2126</v>
      </c>
    </row>
    <row r="18" spans="1:35" ht="15.75" thickBot="1">
      <c r="A18" s="2429" t="s">
        <v>2127</v>
      </c>
      <c r="B18" s="2430"/>
      <c r="C18" s="141">
        <f>ROUND(C17/SUM(C17:D17),2)</f>
        <v>0.5</v>
      </c>
      <c r="D18" s="141">
        <f>1-C18</f>
        <v>0.5</v>
      </c>
      <c r="E18" s="137"/>
      <c r="F18" s="137"/>
      <c r="G18" s="137"/>
      <c r="H18" s="137"/>
      <c r="I18" s="137"/>
      <c r="K18" s="2425" t="s">
        <v>2128</v>
      </c>
      <c r="L18" s="2425">
        <f>IF(C1="",'数据-汇总表'!E3,SUMIF(项目类型,C1,'数据-汇总表'!E17:E26)+SUMIF(项目类型,C1,'数据-汇总表'!I17:I26))</f>
        <v>219161.38</v>
      </c>
      <c r="M18" s="2425">
        <f>IF(C1="",'数据-汇总表'!E3,SUMIF(项目类型,C1,'数据-汇总表'!E17:E26))</f>
        <v>219161.38</v>
      </c>
    </row>
    <row r="19" spans="1:35" ht="15">
      <c r="A19" s="2431" t="s">
        <v>2129</v>
      </c>
      <c r="B19" s="2432" t="s">
        <v>2130</v>
      </c>
      <c r="C19" s="142">
        <f ca="1">SUMIF(INDIRECT("'"&amp;C4&amp;"'"&amp;"!A:A"),结果表!B19,INDIRECT("'"&amp;C4&amp;"'"&amp;"!B:B"))</f>
        <v>474997</v>
      </c>
      <c r="D19" s="143">
        <f ca="1">SUMIF(INDIRECT("'"&amp;D4&amp;"'"&amp;"!A:A"),结果表!B19,INDIRECT("'"&amp;D4&amp;"'"&amp;"!B:B"))</f>
        <v>483597</v>
      </c>
      <c r="E19" s="2431" t="s">
        <v>2131</v>
      </c>
      <c r="F19" s="2432" t="s">
        <v>2130</v>
      </c>
      <c r="G19" s="144">
        <f ca="1">ROUND(C19*$C$18+D19*$D$18,0)</f>
        <v>479297</v>
      </c>
      <c r="H19" s="2433" t="s">
        <v>2132</v>
      </c>
      <c r="I19" s="137"/>
      <c r="K19" s="2425" t="s">
        <v>2133</v>
      </c>
      <c r="L19" s="2425">
        <f>IF(C1="",'数据-汇总表'!D3,SUMIF(项目类型,C1,'数据-汇总表'!D17:D26)+SUMIF(项目类型,C1,'数据-汇总表'!H17:H27))</f>
        <v>82881.19</v>
      </c>
      <c r="M19" s="2425">
        <f>IF(C1="",'数据-汇总表'!D3,SUMIF(项目类型,C1,'数据-汇总表'!D17:D26))</f>
        <v>82881.19</v>
      </c>
    </row>
    <row r="20" spans="1:35" ht="15">
      <c r="A20" s="2434"/>
      <c r="B20" s="1249" t="s">
        <v>2134</v>
      </c>
      <c r="C20" s="145">
        <f ca="1">SUMIF(INDIRECT("'"&amp;C4&amp;"'"&amp;"!A:A"),结果表!B20,INDIRECT("'"&amp;C4&amp;"'"&amp;"!B:B"))</f>
        <v>21673</v>
      </c>
      <c r="D20" s="146">
        <f ca="1">SUMIF(INDIRECT("'"&amp;D4&amp;"'"&amp;"!A:A"),结果表!B20,INDIRECT("'"&amp;D4&amp;"'"&amp;"!B:B"))</f>
        <v>22066</v>
      </c>
      <c r="E20" s="2434"/>
      <c r="F20" s="1249" t="s">
        <v>2134</v>
      </c>
      <c r="G20" s="147">
        <f ca="1">ROUND(C20*$C$18+D20*$D$18,0)</f>
        <v>21870</v>
      </c>
      <c r="H20" s="982" t="s">
        <v>2135</v>
      </c>
      <c r="I20" s="137"/>
    </row>
    <row r="21" spans="1:35" ht="15" customHeight="1" thickBot="1">
      <c r="A21" s="1002"/>
      <c r="B21" s="2435" t="s">
        <v>2136</v>
      </c>
      <c r="C21" s="788">
        <f ca="1">ROUND(C19*10000/L19,0)</f>
        <v>57311</v>
      </c>
      <c r="D21" s="789">
        <f ca="1">ROUND(D19*10000/L19,0)</f>
        <v>58348</v>
      </c>
      <c r="E21" s="1002"/>
      <c r="F21" s="2435" t="s">
        <v>2136</v>
      </c>
      <c r="G21" s="148">
        <f ca="1">ROUND(G19*10000/L19,0)</f>
        <v>57829</v>
      </c>
      <c r="H21" s="2436" t="s">
        <v>2135</v>
      </c>
      <c r="I21" s="137"/>
    </row>
    <row r="22" spans="1:35" ht="15" thickBot="1">
      <c r="A22" s="2280" t="s">
        <v>2137</v>
      </c>
      <c r="B22" s="2437"/>
      <c r="C22" s="2438"/>
      <c r="D22" s="790">
        <f ca="1">IF(C19&lt;D19,D19/C19-1,C19/D19-1)</f>
        <v>1.8105377507647402E-2</v>
      </c>
      <c r="E22" s="137"/>
      <c r="F22" s="137"/>
      <c r="G22" s="137"/>
      <c r="H22" s="137"/>
      <c r="I22" s="137"/>
    </row>
    <row r="23" spans="1:35" ht="13.5" thickBot="1">
      <c r="A23" s="2415"/>
      <c r="B23" s="2415"/>
      <c r="C23" s="2415"/>
      <c r="D23" s="2415"/>
      <c r="E23" s="137"/>
      <c r="F23" s="137"/>
      <c r="G23" s="137"/>
      <c r="H23" s="137"/>
      <c r="I23" s="137"/>
    </row>
    <row r="24" spans="1:35" ht="14.25">
      <c r="A24" s="3238" t="s">
        <v>2138</v>
      </c>
      <c r="B24" s="2432" t="s">
        <v>2130</v>
      </c>
      <c r="C24" s="144">
        <f>IF(B30=0,0,D30)</f>
        <v>0</v>
      </c>
      <c r="D24" s="2439"/>
      <c r="E24" s="137"/>
      <c r="F24" s="137"/>
      <c r="G24" s="137"/>
      <c r="H24" s="137"/>
      <c r="I24" s="137"/>
    </row>
    <row r="25" spans="1:35" ht="14.25">
      <c r="A25" s="3239"/>
      <c r="B25" s="1249" t="s">
        <v>2134</v>
      </c>
      <c r="C25" s="149">
        <f>IF(B30=0,0,C30)</f>
        <v>0</v>
      </c>
      <c r="D25" s="2440"/>
      <c r="E25" s="137"/>
      <c r="F25" s="137"/>
      <c r="G25" s="137"/>
      <c r="H25" s="137"/>
      <c r="I25" s="137"/>
    </row>
    <row r="26" spans="1:35" ht="13.5" customHeight="1">
      <c r="A26" s="2441" t="s">
        <v>2139</v>
      </c>
      <c r="B26" s="150" t="s">
        <v>2140</v>
      </c>
      <c r="C26" s="150" t="s">
        <v>2141</v>
      </c>
      <c r="D26" s="151" t="s">
        <v>2142</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2143</v>
      </c>
      <c r="B30" s="150"/>
      <c r="C30" s="150"/>
      <c r="D30" s="150"/>
      <c r="E30" s="2924" t="s">
        <v>3018</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2144</v>
      </c>
      <c r="B32" s="2445"/>
      <c r="C32" s="152">
        <f ca="1">IF(D32="总价",G19-C24,G20-C25)</f>
        <v>479297</v>
      </c>
      <c r="D32" s="2446" t="s">
        <v>2145</v>
      </c>
      <c r="E32" s="137"/>
      <c r="F32" s="137"/>
      <c r="G32" s="137"/>
      <c r="H32" s="137"/>
      <c r="I32" s="137"/>
    </row>
    <row r="33" spans="1:15" ht="15">
      <c r="A33" s="959" t="s">
        <v>2146</v>
      </c>
      <c r="B33" s="2447"/>
      <c r="C33" s="2448" t="s">
        <v>3205</v>
      </c>
      <c r="D33" s="2449" t="s">
        <v>3206</v>
      </c>
      <c r="E33" s="2450" t="s">
        <v>2147</v>
      </c>
      <c r="F33" s="2451" t="str">
        <f>IF(D32="楼面单价","取值（单价）","取值（总价）")</f>
        <v>取值（总价）</v>
      </c>
      <c r="G33" s="137"/>
      <c r="H33" s="137"/>
      <c r="I33" s="137"/>
    </row>
    <row r="34" spans="1:15" ht="15">
      <c r="A34" s="2452"/>
      <c r="B34" s="2453" t="s">
        <v>2148</v>
      </c>
      <c r="C34" s="156">
        <f ca="1">IF(C33="自定义",F34,C32-C35)</f>
        <v>462042</v>
      </c>
      <c r="D34" s="1057">
        <f ca="1">IF(C33="自定义",ROUND(C34/C32,3),IF(C33="收益比率",SUMIF(INDIRECT("'"&amp;D33&amp;"'"&amp;"!b:b"),"土地收益比率",INDIRECT("'"&amp;D33&amp;"'"&amp;"!c:c")),SUMIF(INDIRECT("'"&amp;D33&amp;"'"&amp;"!b:b"),"土地成本比率",INDIRECT("'"&amp;D33&amp;"'"&amp;"!c:c"))))</f>
        <v>0.96399999999999997</v>
      </c>
      <c r="E34" s="2454" t="s">
        <v>2149</v>
      </c>
      <c r="F34" s="1737"/>
      <c r="G34" s="137"/>
      <c r="H34" s="137"/>
      <c r="I34" s="137"/>
    </row>
    <row r="35" spans="1:15" ht="15.75" thickBot="1">
      <c r="A35" s="2455"/>
      <c r="B35" s="2456" t="s">
        <v>2150</v>
      </c>
      <c r="C35" s="1443">
        <f ca="1">IF(C33="自定义",F35,ROUND(C32*D35,0))</f>
        <v>17255</v>
      </c>
      <c r="D35" s="1444">
        <f ca="1">IF(C33="自定义",ROUND(C35/C32,3),IF(C33="收益比率",SUMIF(INDIRECT("'"&amp;D33&amp;"'"&amp;"!b:b"),"建筑物收益比率",INDIRECT("'"&amp;D33&amp;"'"&amp;"!c:c")),SUMIF(INDIRECT("'"&amp;D33&amp;"'"&amp;"!b:b"),"建筑物成本比率",INDIRECT("'"&amp;D33&amp;"'"&amp;"!c:c"))))</f>
        <v>3.5999999999999997E-2</v>
      </c>
      <c r="E35" s="2457" t="s">
        <v>2151</v>
      </c>
      <c r="F35" s="162"/>
      <c r="G35" s="137"/>
      <c r="H35" s="137"/>
      <c r="I35" s="137"/>
    </row>
    <row r="36" spans="1:15" ht="15.75" thickBot="1">
      <c r="A36" s="3256" t="s">
        <v>2152</v>
      </c>
      <c r="B36" s="2458" t="s">
        <v>2153</v>
      </c>
      <c r="C36" s="153"/>
      <c r="D36" s="2459"/>
      <c r="E36" s="2460"/>
      <c r="F36" s="2461"/>
      <c r="G36" s="137"/>
      <c r="H36" s="137"/>
      <c r="I36" s="137"/>
    </row>
    <row r="37" spans="1:15" ht="15.75" thickBot="1">
      <c r="A37" s="3257"/>
      <c r="B37" s="2266" t="s">
        <v>2154</v>
      </c>
      <c r="C37" s="155"/>
      <c r="D37" s="1394"/>
      <c r="E37" s="1394"/>
      <c r="F37" s="2461"/>
      <c r="G37" s="137"/>
      <c r="H37" s="137"/>
      <c r="I37" s="137"/>
    </row>
    <row r="38" spans="1:15" ht="15.75" thickBot="1">
      <c r="A38" s="3258"/>
      <c r="B38" s="2462" t="s">
        <v>2155</v>
      </c>
      <c r="C38" s="726"/>
      <c r="D38" s="2463" t="s">
        <v>2156</v>
      </c>
      <c r="E38" s="1394"/>
      <c r="F38" s="2461"/>
      <c r="G38" s="137"/>
      <c r="H38" s="137"/>
      <c r="I38" s="137"/>
    </row>
    <row r="39" spans="1:15" ht="15">
      <c r="A39" s="2434" t="s">
        <v>2157</v>
      </c>
      <c r="B39" s="2464" t="s">
        <v>2158</v>
      </c>
      <c r="C39" s="2465" t="s">
        <v>2159</v>
      </c>
      <c r="D39" s="2465" t="s">
        <v>2160</v>
      </c>
      <c r="E39" s="2466" t="s">
        <v>2161</v>
      </c>
      <c r="F39" s="2461"/>
      <c r="G39" s="137"/>
      <c r="H39" s="137"/>
      <c r="I39" s="137"/>
    </row>
    <row r="40" spans="1:15" ht="14.25">
      <c r="A40" s="2467" t="s">
        <v>2162</v>
      </c>
      <c r="B40" s="157"/>
      <c r="C40" s="158"/>
      <c r="D40" s="158"/>
      <c r="E40" s="159"/>
      <c r="F40" s="2461"/>
      <c r="G40" s="137"/>
      <c r="H40" s="137"/>
      <c r="I40" s="137"/>
    </row>
    <row r="41" spans="1:15" ht="14.25">
      <c r="A41" s="2467" t="s">
        <v>2163</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5"/>
      <c r="B43" s="2165"/>
      <c r="C43" s="2165"/>
      <c r="D43" s="2165"/>
      <c r="E43" s="2165"/>
      <c r="F43" s="2469"/>
      <c r="G43" s="2469"/>
      <c r="H43" s="2469"/>
      <c r="I43" s="2470"/>
    </row>
    <row r="44" spans="1:15" ht="18.75">
      <c r="A44" s="2471" t="s">
        <v>2164</v>
      </c>
      <c r="B44" s="2472"/>
      <c r="C44" s="2472"/>
      <c r="D44" s="2473"/>
      <c r="E44" s="2473"/>
      <c r="F44" s="2474"/>
      <c r="G44" s="2474"/>
      <c r="H44" s="2474"/>
      <c r="I44" s="2474"/>
      <c r="J44" s="2475" t="s">
        <v>2165</v>
      </c>
      <c r="K44" s="2476"/>
      <c r="L44" s="2476"/>
      <c r="M44" s="2476"/>
      <c r="N44" s="2476"/>
      <c r="O44" s="2476"/>
    </row>
    <row r="45" spans="1:15" ht="14.25" customHeight="1" thickBot="1">
      <c r="A45" s="3235" t="s">
        <v>2166</v>
      </c>
      <c r="B45" s="3236"/>
      <c r="C45" s="3237"/>
      <c r="D45" s="163">
        <f ca="1">ROUND(H101*F45,0)</f>
        <v>479297</v>
      </c>
      <c r="E45" s="164" t="s">
        <v>2167</v>
      </c>
      <c r="F45" s="165">
        <v>1</v>
      </c>
      <c r="G45" s="166" t="s">
        <v>2168</v>
      </c>
      <c r="H45" s="137"/>
      <c r="I45" s="137"/>
      <c r="J45" s="3295" t="s">
        <v>2169</v>
      </c>
      <c r="K45" s="3295"/>
      <c r="L45" s="3295"/>
      <c r="M45" s="3295"/>
      <c r="N45" s="3295"/>
      <c r="O45" s="3295"/>
    </row>
    <row r="46" spans="1:15" ht="14.25" customHeight="1">
      <c r="A46" s="3232" t="s">
        <v>2170</v>
      </c>
      <c r="B46" s="3233"/>
      <c r="C46" s="3233"/>
      <c r="D46" s="3233"/>
      <c r="E46" s="3233"/>
      <c r="F46" s="3233"/>
      <c r="G46" s="3234"/>
      <c r="H46" s="2477"/>
      <c r="I46" s="167"/>
      <c r="J46" s="1810">
        <v>1</v>
      </c>
      <c r="K46" s="3295" t="s">
        <v>2171</v>
      </c>
      <c r="L46" s="3295"/>
      <c r="M46" s="3315"/>
      <c r="N46" s="3315"/>
      <c r="O46" s="3315"/>
    </row>
    <row r="47" spans="1:15" ht="12" customHeight="1">
      <c r="A47" s="168" t="s">
        <v>2172</v>
      </c>
      <c r="B47" s="169"/>
      <c r="C47" s="170"/>
      <c r="D47" s="171" t="s">
        <v>2173</v>
      </c>
      <c r="E47" s="24" t="s">
        <v>2174</v>
      </c>
      <c r="F47" s="172" t="s">
        <v>2175</v>
      </c>
      <c r="G47" s="173" t="s">
        <v>2176</v>
      </c>
      <c r="H47" s="2477"/>
      <c r="I47" s="167"/>
      <c r="J47" s="1810">
        <v>2</v>
      </c>
      <c r="K47" s="3295" t="s">
        <v>2177</v>
      </c>
      <c r="L47" s="3295"/>
      <c r="M47" s="3316">
        <f>'数据-取费表'!B2</f>
        <v>43444</v>
      </c>
      <c r="N47" s="3316"/>
      <c r="O47" s="3316"/>
    </row>
    <row r="48" spans="1:15" ht="25.5">
      <c r="A48" s="3263" t="s">
        <v>2178</v>
      </c>
      <c r="B48" s="3246"/>
      <c r="C48" s="3246"/>
      <c r="D48" s="139">
        <f>IF(H48="情况1",0,IF(H48="情况2",D52,IF(H48="情况3",D53,IF(H48="情况4",D54))))</f>
        <v>0</v>
      </c>
      <c r="E48" s="1799" t="str">
        <f>IF(H48="情况4","(销售额-原购置价)×税（费）率","销售额×税（费）率")</f>
        <v>销售额×税（费）率</v>
      </c>
      <c r="F48" s="174" t="str">
        <f>IF(H48="情况1","免征",'数据-取费表'!B41)</f>
        <v>免征</v>
      </c>
      <c r="G48" s="2478" t="s">
        <v>2179</v>
      </c>
      <c r="H48" s="2479" t="s">
        <v>2180</v>
      </c>
      <c r="I48" s="2477"/>
      <c r="J48" s="1810">
        <v>3</v>
      </c>
      <c r="K48" s="3295" t="s">
        <v>2181</v>
      </c>
      <c r="L48" s="3295"/>
      <c r="M48" s="3317">
        <f ca="1">H101</f>
        <v>479297</v>
      </c>
      <c r="N48" s="3317"/>
      <c r="O48" s="3317"/>
    </row>
    <row r="49" spans="1:35" ht="25.5" customHeight="1">
      <c r="A49" s="175" t="s">
        <v>2182</v>
      </c>
      <c r="B49" s="3231" t="s">
        <v>2183</v>
      </c>
      <c r="C49" s="3231"/>
      <c r="D49" s="176">
        <v>0</v>
      </c>
      <c r="E49" s="23" t="s">
        <v>2184</v>
      </c>
      <c r="F49" s="28" t="s">
        <v>34</v>
      </c>
      <c r="G49" s="3301"/>
      <c r="H49" s="137"/>
      <c r="I49" s="2480"/>
      <c r="J49" s="1810">
        <v>4</v>
      </c>
      <c r="K49" s="3295" t="str">
        <f>IF(项目基本情况!E8="房地产抵押价值","房地产抵押价值","抵押担保权已注销时的房地产抵押价值")</f>
        <v>房地产抵押价值</v>
      </c>
      <c r="L49" s="3295"/>
      <c r="M49" s="3317">
        <f ca="1">IF(项目基本情况!E8="房地产抵押价值",H107,H109)</f>
        <v>479297</v>
      </c>
      <c r="N49" s="3317"/>
      <c r="O49" s="3317"/>
    </row>
    <row r="50" spans="1:35" ht="25.5" customHeight="1">
      <c r="A50" s="177"/>
      <c r="B50" s="3231" t="s">
        <v>2185</v>
      </c>
      <c r="C50" s="3231"/>
      <c r="D50" s="178"/>
      <c r="E50" s="31"/>
      <c r="F50" s="179"/>
      <c r="G50" s="3302"/>
      <c r="H50" s="137"/>
      <c r="I50" s="2480"/>
      <c r="J50" s="3295" t="s">
        <v>2186</v>
      </c>
      <c r="K50" s="3295"/>
      <c r="L50" s="3295"/>
      <c r="M50" s="3295"/>
      <c r="N50" s="3295"/>
      <c r="O50" s="3295"/>
    </row>
    <row r="51" spans="1:35" ht="12" customHeight="1">
      <c r="A51" s="180"/>
      <c r="B51" s="3231" t="s">
        <v>2187</v>
      </c>
      <c r="C51" s="3231"/>
      <c r="D51" s="181"/>
      <c r="E51" s="30"/>
      <c r="F51" s="179"/>
      <c r="G51" s="3303"/>
      <c r="H51" s="137"/>
      <c r="I51" s="2480"/>
      <c r="J51" s="2481" t="s">
        <v>2188</v>
      </c>
      <c r="K51" s="3295" t="s">
        <v>2189</v>
      </c>
      <c r="L51" s="3295"/>
      <c r="M51" s="2481" t="s">
        <v>2190</v>
      </c>
      <c r="N51" s="2481" t="s">
        <v>2191</v>
      </c>
      <c r="O51" s="2481" t="s">
        <v>2192</v>
      </c>
    </row>
    <row r="52" spans="1:35" ht="24" customHeight="1">
      <c r="A52" s="182" t="s">
        <v>2193</v>
      </c>
      <c r="B52" s="3231" t="s">
        <v>2194</v>
      </c>
      <c r="C52" s="3231"/>
      <c r="D52" s="181">
        <f ca="1">ROUND(D45*'数据-取费表'!B41/(1+'数据-取费表'!C42),0)</f>
        <v>25106</v>
      </c>
      <c r="E52" s="11" t="s">
        <v>2195</v>
      </c>
      <c r="F52" s="183">
        <f>'数据-取费表'!B41</f>
        <v>5.5000000000000007E-2</v>
      </c>
      <c r="G52" s="2482"/>
      <c r="H52" s="137"/>
      <c r="I52" s="2480"/>
      <c r="J52" s="1810">
        <v>1</v>
      </c>
      <c r="K52" s="3296" t="s">
        <v>2196</v>
      </c>
      <c r="L52" s="3296"/>
      <c r="M52" s="1752">
        <f>D48</f>
        <v>0</v>
      </c>
      <c r="N52" s="1810" t="str">
        <f>E48</f>
        <v>销售额×税（费）率</v>
      </c>
      <c r="O52" s="1753" t="str">
        <f>F48</f>
        <v>免征</v>
      </c>
    </row>
    <row r="53" spans="1:35" ht="12" customHeight="1">
      <c r="A53" s="182" t="s">
        <v>2197</v>
      </c>
      <c r="B53" s="3254" t="s">
        <v>2198</v>
      </c>
      <c r="C53" s="3255"/>
      <c r="D53" s="181">
        <f ca="1">ROUND(D45*'数据-取费表'!B41/(1+'数据-取费表'!C42),0)</f>
        <v>25106</v>
      </c>
      <c r="E53" s="11" t="s">
        <v>2195</v>
      </c>
      <c r="F53" s="183">
        <f>'数据-取费表'!B41</f>
        <v>5.5000000000000007E-2</v>
      </c>
      <c r="G53" s="2482"/>
      <c r="H53" s="137"/>
      <c r="I53" s="2480"/>
      <c r="J53" s="1810">
        <v>2</v>
      </c>
      <c r="K53" s="3296" t="s">
        <v>2199</v>
      </c>
      <c r="L53" s="3296"/>
      <c r="M53" s="1752">
        <f t="shared" ref="M53:O54" ca="1" si="0">D55</f>
        <v>240</v>
      </c>
      <c r="N53" s="1810" t="str">
        <f t="shared" si="0"/>
        <v>销售额×税（费）率</v>
      </c>
      <c r="O53" s="1753">
        <f t="shared" si="0"/>
        <v>5.0000000000000001E-4</v>
      </c>
    </row>
    <row r="54" spans="1:35" ht="12" customHeight="1">
      <c r="A54" s="182" t="s">
        <v>2200</v>
      </c>
      <c r="B54" s="3254" t="s">
        <v>2201</v>
      </c>
      <c r="C54" s="3255"/>
      <c r="D54" s="181">
        <f ca="1">C68</f>
        <v>25106</v>
      </c>
      <c r="E54" s="30" t="s">
        <v>2202</v>
      </c>
      <c r="F54" s="183">
        <f>'数据-取费表'!B41</f>
        <v>5.5000000000000007E-2</v>
      </c>
      <c r="G54" s="2482"/>
      <c r="H54" s="2483"/>
      <c r="I54" s="2480"/>
      <c r="J54" s="1810">
        <v>3</v>
      </c>
      <c r="K54" s="3296" t="s">
        <v>2203</v>
      </c>
      <c r="L54" s="3296"/>
      <c r="M54" s="1752">
        <f t="shared" ca="1" si="0"/>
        <v>271716</v>
      </c>
      <c r="N54" s="1810" t="str">
        <f t="shared" si="0"/>
        <v>增值额×税（费）率</v>
      </c>
      <c r="O54" s="1754" t="str">
        <f t="shared" si="0"/>
        <v>——</v>
      </c>
    </row>
    <row r="55" spans="1:35" ht="24" customHeight="1">
      <c r="A55" s="3245" t="s">
        <v>2204</v>
      </c>
      <c r="B55" s="3246"/>
      <c r="C55" s="3246"/>
      <c r="D55" s="184">
        <f ca="1">IF(H55="个人住宅",0,ROUND(D45*I55,0))</f>
        <v>240</v>
      </c>
      <c r="E55" s="11" t="s">
        <v>2205</v>
      </c>
      <c r="F55" s="183">
        <f>IF(H55="正常",I55,"免征")</f>
        <v>5.0000000000000001E-4</v>
      </c>
      <c r="G55" s="2482"/>
      <c r="H55" s="2479" t="s">
        <v>2206</v>
      </c>
      <c r="I55" s="185">
        <f>'数据-取费表'!B49</f>
        <v>5.0000000000000001E-4</v>
      </c>
      <c r="J55" s="1810" t="str">
        <f>IF(H59="非个人房产","",4)</f>
        <v/>
      </c>
      <c r="K55" s="3296" t="str">
        <f>IF(H59="非个人房产","——","个人所得税")</f>
        <v>——</v>
      </c>
      <c r="L55" s="3296"/>
      <c r="M55" s="1755" t="str">
        <f>D59</f>
        <v>——</v>
      </c>
      <c r="N55" s="1808" t="str">
        <f>E59</f>
        <v>——</v>
      </c>
      <c r="O55" s="1756" t="str">
        <f>F59</f>
        <v>——</v>
      </c>
    </row>
    <row r="56" spans="1:35" ht="24.75">
      <c r="A56" s="3245" t="s">
        <v>2207</v>
      </c>
      <c r="B56" s="3246"/>
      <c r="C56" s="3246"/>
      <c r="D56" s="184">
        <f ca="1">IF(H56="个人住宅",D57,D58)</f>
        <v>271716</v>
      </c>
      <c r="E56" s="11" t="s">
        <v>2208</v>
      </c>
      <c r="F56" s="183" t="str">
        <f>IF(H56="正常",F58,"免征")</f>
        <v>——</v>
      </c>
      <c r="G56" s="2484" t="s">
        <v>2209</v>
      </c>
      <c r="H56" s="2485" t="s">
        <v>2206</v>
      </c>
      <c r="I56" s="2486"/>
      <c r="J56" s="1810" t="str">
        <f>IF(项目基本情况!K6="上海银行",IF(J55="",4,J55+1),"")</f>
        <v/>
      </c>
      <c r="K56" s="3319" t="str">
        <f>IF(项目基本情况!K6="上海银行","其他处置费用","")</f>
        <v/>
      </c>
      <c r="L56" s="3320"/>
      <c r="M56" s="1752" t="str">
        <f>IF(项目基本情况!K6="上海银行",M69,"")</f>
        <v/>
      </c>
      <c r="N56" s="3322" t="str">
        <f>IF(项目基本情况!K6="上海银行","包含处置中涉及的律师、诉讼、拍卖、评估等费用","")</f>
        <v/>
      </c>
      <c r="O56" s="3323"/>
    </row>
    <row r="57" spans="1:35" ht="12.75">
      <c r="A57" s="182" t="s">
        <v>2182</v>
      </c>
      <c r="B57" s="3261" t="s">
        <v>2210</v>
      </c>
      <c r="C57" s="3270"/>
      <c r="D57" s="186">
        <v>0</v>
      </c>
      <c r="E57" s="23" t="s">
        <v>2184</v>
      </c>
      <c r="F57" s="154"/>
      <c r="G57" s="2482"/>
      <c r="H57" s="2486"/>
      <c r="I57" s="2486"/>
      <c r="J57" s="3296">
        <f>IF(AND(J55="",J56=""),4,IF(项目基本情况!K6="上海银行",结果表!J56+1,结果表!J55+1))</f>
        <v>4</v>
      </c>
      <c r="K57" s="3296" t="s">
        <v>2211</v>
      </c>
      <c r="L57" s="2487" t="s">
        <v>2212</v>
      </c>
      <c r="M57" s="1757"/>
      <c r="N57" s="1758">
        <f ca="1">SUMIF(M52:M56,"&lt;9e307")</f>
        <v>271956</v>
      </c>
      <c r="O57" s="2488"/>
      <c r="P57" s="1751">
        <f ca="1">N57/M49</f>
        <v>0.56740601339044472</v>
      </c>
    </row>
    <row r="58" spans="1:35" ht="24.75">
      <c r="A58" s="182" t="s">
        <v>2193</v>
      </c>
      <c r="B58" s="3261" t="s">
        <v>2213</v>
      </c>
      <c r="C58" s="3262"/>
      <c r="D58" s="184">
        <f ca="1">IF(H58="转让取得",C81,C97)</f>
        <v>271716</v>
      </c>
      <c r="E58" s="11" t="s">
        <v>2208</v>
      </c>
      <c r="F58" s="24" t="s">
        <v>34</v>
      </c>
      <c r="G58" s="2482"/>
      <c r="H58" s="2485" t="s">
        <v>2214</v>
      </c>
      <c r="I58" s="2486"/>
      <c r="J58" s="3296"/>
      <c r="K58" s="3296"/>
      <c r="L58" s="2487" t="s">
        <v>2215</v>
      </c>
      <c r="M58" s="1759"/>
      <c r="N58" s="2489" t="str">
        <f ca="1">NUMBERSTRING(INT(N57*10000),2)&amp;"元整"</f>
        <v>贰拾柒亿壹仟玖佰伍拾陆万元整</v>
      </c>
      <c r="O58" s="2490"/>
    </row>
    <row r="59" spans="1:35" ht="24.75" thickBot="1">
      <c r="A59" s="3299" t="s">
        <v>2216</v>
      </c>
      <c r="B59" s="3300"/>
      <c r="C59" s="3300"/>
      <c r="D59" s="187" t="str">
        <f>IF(H59="非个人房产","——",IF(H59="个人住宅",0,ROUND(D45*I59,0)))</f>
        <v>——</v>
      </c>
      <c r="E59" s="188" t="str">
        <f>IF(H59="非个人房产","——","销售额×税（费）率")</f>
        <v>——</v>
      </c>
      <c r="F59" s="189" t="str">
        <f>IF(H59="非个人房产","——",IF(H59="个人住宅","免征",I59))</f>
        <v>——</v>
      </c>
      <c r="G59" s="2491" t="s">
        <v>2209</v>
      </c>
      <c r="H59" s="2485" t="s">
        <v>2217</v>
      </c>
      <c r="I59" s="190">
        <v>0.01</v>
      </c>
      <c r="J59" s="3297">
        <f>J57+1</f>
        <v>5</v>
      </c>
      <c r="K59" s="3296" t="s">
        <v>2218</v>
      </c>
      <c r="L59" s="1810" t="s">
        <v>2212</v>
      </c>
      <c r="M59" s="1760"/>
      <c r="N59" s="1761">
        <f ca="1">M49-N57</f>
        <v>207341</v>
      </c>
      <c r="O59" s="2492"/>
    </row>
    <row r="60" spans="1:35" ht="12" customHeight="1">
      <c r="A60" s="2493"/>
      <c r="B60" s="2415"/>
      <c r="C60" s="2415"/>
      <c r="D60" s="2415"/>
      <c r="E60" s="2166"/>
      <c r="F60" s="2486"/>
      <c r="G60" s="2486"/>
      <c r="H60" s="2494"/>
      <c r="I60" s="137"/>
      <c r="J60" s="3298"/>
      <c r="K60" s="3296"/>
      <c r="L60" s="2487" t="s">
        <v>2215</v>
      </c>
      <c r="M60" s="1759"/>
      <c r="N60" s="2489" t="str">
        <f ca="1">NUMBERSTRING(INT(N59*10000),2)&amp;"元整"</f>
        <v>贰拾亿柒仟叁佰肆拾壹万元整</v>
      </c>
      <c r="O60" s="2490"/>
    </row>
    <row r="61" spans="1:35" ht="13.5" thickBot="1">
      <c r="A61" s="3243" t="s">
        <v>2219</v>
      </c>
      <c r="B61" s="3243"/>
      <c r="C61" s="3243"/>
      <c r="D61" s="3243"/>
      <c r="E61" s="3243"/>
      <c r="F61" s="2486"/>
      <c r="G61" s="2486"/>
      <c r="H61" s="2494"/>
      <c r="I61" s="137"/>
      <c r="J61" s="1810">
        <f>J59+1</f>
        <v>6</v>
      </c>
      <c r="K61" s="3296" t="s">
        <v>2220</v>
      </c>
      <c r="L61" s="3296"/>
      <c r="M61" s="1762"/>
      <c r="N61" s="1763">
        <f ca="1">ROUND(N59*10000/'数据-汇总表'!E3,0)</f>
        <v>9461</v>
      </c>
      <c r="O61" s="2495"/>
    </row>
    <row r="62" spans="1:35" ht="12.75">
      <c r="A62" s="3259" t="s">
        <v>2221</v>
      </c>
      <c r="B62" s="3260"/>
      <c r="C62" s="1802"/>
      <c r="D62" s="1802" t="s">
        <v>2222</v>
      </c>
      <c r="E62" s="191" t="s">
        <v>2223</v>
      </c>
      <c r="F62" s="2486"/>
      <c r="G62" s="2486"/>
      <c r="H62" s="2494"/>
      <c r="I62" s="137"/>
    </row>
    <row r="63" spans="1:35" ht="12.75">
      <c r="A63" s="202" t="s">
        <v>775</v>
      </c>
      <c r="B63" s="192" t="s">
        <v>2224</v>
      </c>
      <c r="C63" s="193">
        <f ca="1">ROUND((C64+C65)/(1+'数据-取费表'!C42),0)</f>
        <v>456473</v>
      </c>
      <c r="D63" s="194"/>
      <c r="E63" s="195"/>
      <c r="F63" s="2486"/>
      <c r="G63" s="2486"/>
      <c r="H63" s="2494"/>
      <c r="I63" s="137"/>
      <c r="J63" s="3321" t="s">
        <v>2225</v>
      </c>
      <c r="K63" s="2496" t="s">
        <v>2226</v>
      </c>
      <c r="L63" s="1750">
        <f ca="1">IF(M49&gt;10000,M49*0.5%,IF(AND(M49&gt;1000,M49&lt;=10000),M49*1%,IF(AND(M49&gt;100,M49&lt;=1000),M49*3%,IF(AND(M49&gt;10,M49&lt;=100),M49*5%,M49*8%))))</f>
        <v>2396.4850000000001</v>
      </c>
      <c r="M63" s="24">
        <f ca="1">ROUND(L63,1)</f>
        <v>2396.5</v>
      </c>
      <c r="Z63" s="2420"/>
      <c r="AI63" s="2421"/>
    </row>
    <row r="64" spans="1:35" ht="14.25" customHeight="1">
      <c r="A64" s="196" t="s">
        <v>770</v>
      </c>
      <c r="B64" s="197" t="s">
        <v>2227</v>
      </c>
      <c r="C64" s="198">
        <f ca="1">D45</f>
        <v>479297</v>
      </c>
      <c r="D64" s="199" t="s">
        <v>32</v>
      </c>
      <c r="E64" s="200"/>
      <c r="F64" s="2486"/>
      <c r="G64" s="2486"/>
      <c r="H64" s="2494"/>
      <c r="I64" s="137"/>
      <c r="J64" s="3321"/>
      <c r="K64" s="2496" t="s">
        <v>2228</v>
      </c>
      <c r="L64" s="1750">
        <f ca="1">IF(M49&gt;2000,M49*0.5%,IF(AND(M49&gt;1000,M49&lt;=2000),M49*0.6%,IF(AND(M49&gt;500,M49&lt;=1000),M49*0.7%,IF(AND(M49&gt;200,M49&lt;=500),M49*0.8%,IF(AND(M49&gt;100,M49&lt;=200),M49*0.9%,IF(AND(M49&gt;50,M49&lt;=100),M49*1%,IF(AND(M49&gt;20,M49&lt;=50),M49*1.5%,IF(AND(M49&gt;10,M49&lt;=20),M49*2%,IF(AND(M49&gt;1,M49&lt;=10),M49*2.5%)))))))))</f>
        <v>2396.4850000000001</v>
      </c>
      <c r="M64" s="24">
        <f t="shared" ref="M64:M65" ca="1" si="1">ROUND(L64,1)</f>
        <v>2396.5</v>
      </c>
      <c r="N64" s="137" t="s">
        <v>2229</v>
      </c>
      <c r="Z64" s="2420"/>
      <c r="AI64" s="2421"/>
    </row>
    <row r="65" spans="1:35" ht="14.25" customHeight="1">
      <c r="A65" s="196" t="s">
        <v>771</v>
      </c>
      <c r="B65" s="197" t="s">
        <v>2230</v>
      </c>
      <c r="C65" s="201"/>
      <c r="D65" s="199"/>
      <c r="E65" s="200"/>
      <c r="F65" s="2486"/>
      <c r="G65" s="2486"/>
      <c r="H65" s="2494"/>
      <c r="I65" s="137"/>
      <c r="J65" s="3321"/>
      <c r="K65" s="2496" t="s">
        <v>2231</v>
      </c>
      <c r="L65" s="1750">
        <f ca="1">IF(M49&gt;1000,M49*0.1%,IF(AND(M49&gt;500,M49&lt;=1000),M49*0.5%,IF(AND(M49&gt;50,M49&lt;=500),M49*1%,IF(AND(M49&gt;1,M49&lt;=50),M49*1.5%))))</f>
        <v>479.29700000000003</v>
      </c>
      <c r="M65" s="24">
        <f t="shared" ca="1" si="1"/>
        <v>479.3</v>
      </c>
      <c r="N65" s="137" t="s">
        <v>2229</v>
      </c>
      <c r="Z65" s="2420"/>
      <c r="AI65" s="2421"/>
    </row>
    <row r="66" spans="1:35" ht="14.25" customHeight="1">
      <c r="A66" s="202" t="s">
        <v>772</v>
      </c>
      <c r="B66" s="203" t="s">
        <v>2232</v>
      </c>
      <c r="C66" s="204"/>
      <c r="D66" s="205" t="s">
        <v>32</v>
      </c>
      <c r="E66" s="1774" t="s">
        <v>1367</v>
      </c>
      <c r="F66" s="2486"/>
      <c r="G66" s="2486"/>
      <c r="H66" s="2494"/>
      <c r="I66" s="137"/>
      <c r="J66" s="3321"/>
      <c r="K66" s="2496" t="s">
        <v>2233</v>
      </c>
      <c r="L66" s="1750">
        <f ca="1">M49*0.5%</f>
        <v>2396.4850000000001</v>
      </c>
      <c r="M66" s="24">
        <f ca="1">IF(L66&gt;0.5,0.5,ROUND(L66,0))</f>
        <v>0.5</v>
      </c>
      <c r="N66" s="137" t="s">
        <v>2234</v>
      </c>
      <c r="Z66" s="2420"/>
      <c r="AI66" s="2421"/>
    </row>
    <row r="67" spans="1:35" ht="14.25" customHeight="1">
      <c r="A67" s="202" t="s">
        <v>773</v>
      </c>
      <c r="B67" s="203" t="s">
        <v>2235</v>
      </c>
      <c r="C67" s="206">
        <f ca="1">C63-C66</f>
        <v>456473</v>
      </c>
      <c r="D67" s="199" t="s">
        <v>32</v>
      </c>
      <c r="E67" s="200"/>
      <c r="F67" s="2486"/>
      <c r="G67" s="2486"/>
      <c r="H67" s="2494"/>
      <c r="I67" s="137"/>
      <c r="J67" s="3321"/>
      <c r="K67" s="2496" t="s">
        <v>2236</v>
      </c>
      <c r="L67" s="1750">
        <f ca="1">IF(M49&gt;=10000,(8.25+(M49-10000)*0.01%),IF(AND(M49&gt;=8000,M49&lt;10000),(7.85+(M49-8000)*0.02%),IF(AND(M49&gt;=5000,M49&lt;8000),(6.65+(M49-5000)*0.04%),IF(AND(M49&gt;=2000,M49&lt;5000),(4.25+(PM49-2000)*0.08%),IF(AND(M49&gt;=1000,M49&lt;2000),(2.75+(M49-1000)*0.15%),IF(AND(M49&gt;=100,M49&lt;1000),(0.5+(M49-100)*0.25%),IF(AND(M49&gt;0,M49&lt;100),M49*0.5%)))))))</f>
        <v>55.179700000000004</v>
      </c>
      <c r="M67" s="24">
        <f ca="1">ROUND(L67*0.9,1)</f>
        <v>49.7</v>
      </c>
      <c r="Z67" s="2420"/>
      <c r="AI67" s="2421"/>
    </row>
    <row r="68" spans="1:35" ht="14.25" customHeight="1" thickBot="1">
      <c r="A68" s="207" t="s">
        <v>774</v>
      </c>
      <c r="B68" s="208" t="s">
        <v>2237</v>
      </c>
      <c r="C68" s="209">
        <f ca="1">IF(C67&lt;=0,0,ROUND(C67*D68,0))</f>
        <v>25106</v>
      </c>
      <c r="D68" s="210">
        <f>'数据-取费表'!B41</f>
        <v>5.5000000000000007E-2</v>
      </c>
      <c r="E68" s="211"/>
      <c r="F68" s="2486"/>
      <c r="G68" s="2486"/>
      <c r="H68" s="2494"/>
      <c r="I68" s="137"/>
      <c r="J68" s="3321"/>
      <c r="K68" s="2496" t="s">
        <v>2238</v>
      </c>
      <c r="L68" s="1750">
        <f ca="1">IF(M49&gt;10000,M49*0.5%,IF(AND(M49&gt;5000,M49&lt;=10000),M49*1%,IF(AND(M49&gt;1000,M49&lt;=5000),M49*2%,IF(AND(M49&gt;200,M49&lt;=1000),M49*3%,M49*5%))))</f>
        <v>2396.4850000000001</v>
      </c>
      <c r="M68" s="24">
        <f ca="1">ROUND(L68,1)</f>
        <v>2396.5</v>
      </c>
      <c r="Z68" s="2420"/>
      <c r="AI68" s="2421"/>
    </row>
    <row r="69" spans="1:35" s="2443" customFormat="1" ht="16.5" customHeight="1">
      <c r="A69" s="2497"/>
      <c r="B69" s="2498"/>
      <c r="C69" s="2499"/>
      <c r="D69" s="2500"/>
      <c r="E69" s="2501"/>
      <c r="F69" s="2166"/>
      <c r="G69" s="2166"/>
      <c r="H69" s="2165"/>
      <c r="I69" s="2415"/>
      <c r="J69" s="3321"/>
      <c r="K69" s="2496" t="s">
        <v>2239</v>
      </c>
      <c r="L69" s="2502"/>
      <c r="M69" s="24">
        <f ca="1">ROUND(SUM(M63:M68),0)</f>
        <v>7719</v>
      </c>
      <c r="N69" s="1751">
        <f ca="1">M69/M49</f>
        <v>1.6104836875674166E-2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280" t="s">
        <v>2240</v>
      </c>
      <c r="B70" s="3281"/>
      <c r="C70" s="3281"/>
      <c r="D70" s="3281"/>
      <c r="E70" s="3281"/>
      <c r="F70" s="3281"/>
      <c r="G70" s="3281"/>
      <c r="H70" s="328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59" t="s">
        <v>2221</v>
      </c>
      <c r="B71" s="3260"/>
      <c r="C71" s="1802"/>
      <c r="D71" s="1802" t="s">
        <v>2222</v>
      </c>
      <c r="E71" s="212" t="s">
        <v>2223</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2241</v>
      </c>
      <c r="C72" s="206">
        <f ca="1">ROUND(D45/(1+'数据-取费表'!C42),0)</f>
        <v>456473</v>
      </c>
      <c r="D72" s="199" t="s">
        <v>32</v>
      </c>
      <c r="E72" s="1801"/>
      <c r="F72" s="1795"/>
      <c r="G72" s="179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2242</v>
      </c>
      <c r="C73" s="206">
        <f ca="1">C74+C78</f>
        <v>2282</v>
      </c>
      <c r="D73" s="199" t="s">
        <v>32</v>
      </c>
      <c r="E73" s="1801"/>
      <c r="F73" s="1795"/>
      <c r="G73" s="179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2243</v>
      </c>
      <c r="C74" s="199">
        <f>ROUND(IF(G77="2016年5月1日后购买",C75/(1+'数据-取费表'!C42)+C76+C77,C75+C76+C77),0)</f>
        <v>0</v>
      </c>
      <c r="D74" s="199" t="s">
        <v>32</v>
      </c>
      <c r="E74" s="1801"/>
      <c r="F74" s="1795"/>
      <c r="G74" s="179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2244</v>
      </c>
      <c r="C75" s="217"/>
      <c r="D75" s="199" t="s">
        <v>32</v>
      </c>
      <c r="E75" s="218" t="s">
        <v>2245</v>
      </c>
      <c r="F75" s="2508" t="s">
        <v>2246</v>
      </c>
      <c r="G75" s="218" t="s">
        <v>2247</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2248</v>
      </c>
      <c r="C76" s="199">
        <f>IF(F75="购房发票",ROUND(C75*H75*D76,0),0)</f>
        <v>0</v>
      </c>
      <c r="D76" s="221">
        <v>0.05</v>
      </c>
      <c r="E76" s="3254" t="s">
        <v>2249</v>
      </c>
      <c r="F76" s="3231"/>
      <c r="G76" s="3231"/>
      <c r="H76" s="327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2250</v>
      </c>
      <c r="C77" s="199">
        <f>ROUND(IF(G77="个人住宅",0,IF(G77="2016年5月1日前购买",C75*D77,C75*D77/(1+'数据-取费表'!C42))),0)</f>
        <v>0</v>
      </c>
      <c r="D77" s="222">
        <f>'数据-取费表'!B48+'数据-取费表'!B49</f>
        <v>3.0499999999999999E-2</v>
      </c>
      <c r="E77" s="15" t="s">
        <v>2251</v>
      </c>
      <c r="F77" s="223"/>
      <c r="G77" s="2510" t="s">
        <v>2252</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2253</v>
      </c>
      <c r="C78" s="224">
        <f ca="1">ROUND(D45*D78/(1+'数据-取费表'!C42),0)</f>
        <v>2282</v>
      </c>
      <c r="D78" s="225">
        <f>'数据-取费表'!B43</f>
        <v>5.000000000000001E-3</v>
      </c>
      <c r="E78" s="3240" t="s">
        <v>2254</v>
      </c>
      <c r="F78" s="3241"/>
      <c r="G78" s="3241"/>
      <c r="H78" s="325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2255</v>
      </c>
      <c r="C79" s="206">
        <f ca="1">C72-C73</f>
        <v>454191</v>
      </c>
      <c r="D79" s="199" t="s">
        <v>32</v>
      </c>
      <c r="E79" s="1801"/>
      <c r="F79" s="1795"/>
      <c r="G79" s="179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2256</v>
      </c>
      <c r="C80" s="226">
        <f ca="1">IF(C79&lt;=0,0,C79/C73)</f>
        <v>199.03198948290972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2257</v>
      </c>
      <c r="C81" s="227">
        <f ca="1">ROUND(IF(C79&lt;=0,0,IF(C80&gt;=200%,C79*60%-C73*35%,IF(C80&gt;=100%,C79*50%-C73*15%,IF(C80&gt;=50%,C79*40%-C73*5%,IF(C80&lt;50%,C79*30%,0))))),0)</f>
        <v>271716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80" t="s">
        <v>2258</v>
      </c>
      <c r="B83" s="3281"/>
      <c r="C83" s="3281"/>
      <c r="D83" s="3281"/>
      <c r="E83" s="3281"/>
      <c r="F83" s="3281"/>
      <c r="G83" s="3281"/>
      <c r="H83" s="328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59" t="s">
        <v>2221</v>
      </c>
      <c r="B84" s="3260"/>
      <c r="C84" s="1802"/>
      <c r="D84" s="1802" t="s">
        <v>2222</v>
      </c>
      <c r="E84" s="212" t="s">
        <v>2223</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2241</v>
      </c>
      <c r="C85" s="206">
        <f ca="1">ROUND(D45/(1+'数据-取费表'!C42),0)</f>
        <v>456473</v>
      </c>
      <c r="D85" s="199" t="s">
        <v>32</v>
      </c>
      <c r="E85" s="1801"/>
      <c r="F85" s="1795"/>
      <c r="G85" s="179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2242</v>
      </c>
      <c r="C86" s="206">
        <f ca="1">IF(H88="仅含出让金",C87+C90+C91+C92+C93+C94,C87+C91+C92+C93+C94)</f>
        <v>2282</v>
      </c>
      <c r="D86" s="234"/>
      <c r="E86" s="1801"/>
      <c r="F86" s="1795"/>
      <c r="G86" s="179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2259</v>
      </c>
      <c r="C87" s="224">
        <f>C88+C89</f>
        <v>0</v>
      </c>
      <c r="D87" s="225"/>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2260</v>
      </c>
      <c r="C88" s="235"/>
      <c r="D88" s="225"/>
      <c r="E88" s="236" t="s">
        <v>2261</v>
      </c>
      <c r="F88" s="1798"/>
      <c r="G88" s="237" t="s">
        <v>2262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2250</v>
      </c>
      <c r="C89" s="224">
        <f>ROUND(C88*D89,0)</f>
        <v>0</v>
      </c>
      <c r="D89" s="225">
        <f>'数据-取费表'!B48+'数据-取费表'!B49</f>
        <v>3.0499999999999999E-2</v>
      </c>
      <c r="E89" s="236" t="s">
        <v>2263</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2264</v>
      </c>
      <c r="C90" s="235"/>
      <c r="D90" s="225"/>
      <c r="E90" s="236"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2265</v>
      </c>
      <c r="B91" s="197" t="s">
        <v>2266</v>
      </c>
      <c r="C91" s="224">
        <f>IF(H91="——",成本法!C33,I91)</f>
        <v>0</v>
      </c>
      <c r="D91" s="225"/>
      <c r="E91" s="3240" t="s">
        <v>2267</v>
      </c>
      <c r="F91" s="3241"/>
      <c r="G91" s="3241"/>
      <c r="H91" s="2515" t="s">
        <v>2268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2269</v>
      </c>
      <c r="B92" s="197" t="s">
        <v>2270</v>
      </c>
      <c r="C92" s="224">
        <f>ROUND((C87+C90+C91)*D92,0)</f>
        <v>0</v>
      </c>
      <c r="D92" s="225">
        <v>0.1</v>
      </c>
      <c r="E92" s="3240" t="s">
        <v>2271</v>
      </c>
      <c r="F92" s="3241"/>
      <c r="G92" s="3241"/>
      <c r="H92" s="325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2272</v>
      </c>
      <c r="B93" s="197" t="s">
        <v>2253</v>
      </c>
      <c r="C93" s="224">
        <f ca="1">ROUND(D45*D93/(1+'数据-取费表'!C42),0)</f>
        <v>2282</v>
      </c>
      <c r="D93" s="225">
        <f>'数据-取费表'!B43</f>
        <v>5.000000000000001E-3</v>
      </c>
      <c r="E93" s="3240" t="s">
        <v>2254</v>
      </c>
      <c r="F93" s="3241"/>
      <c r="G93" s="3241"/>
      <c r="H93" s="325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2273</v>
      </c>
      <c r="B94" s="197" t="s">
        <v>2274</v>
      </c>
      <c r="C94" s="235">
        <f>ROUND((C87+C90+C91)*D94,0)</f>
        <v>0</v>
      </c>
      <c r="D94" s="225">
        <v>0.2</v>
      </c>
      <c r="E94" s="3251" t="s">
        <v>2275</v>
      </c>
      <c r="F94" s="3252"/>
      <c r="G94" s="3252"/>
      <c r="H94" s="325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2255</v>
      </c>
      <c r="C95" s="206">
        <f ca="1">ROUND(C85-C86,0)</f>
        <v>454191</v>
      </c>
      <c r="D95" s="199" t="s">
        <v>32</v>
      </c>
      <c r="E95" s="1801"/>
      <c r="F95" s="1795"/>
      <c r="G95" s="179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2256</v>
      </c>
      <c r="C96" s="226">
        <f ca="1">IF(C95&lt;=0,0,C95/C86)</f>
        <v>199.03198948290972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2257</v>
      </c>
      <c r="C97" s="227">
        <f ca="1">ROUND(IF(C95&lt;=0,0,IF(C96&gt;=200%,C95*60%-C86*35%,IF(C96&gt;=100%,C95*50%-C86*15%,IF(C96&gt;=50%,C95*40%-C86*5%,IF(C96&lt;50%,C95*30%,0))))),0)</f>
        <v>271716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7"/>
    </row>
    <row r="99" spans="1:35" ht="21.75" customHeight="1" thickBot="1">
      <c r="A99" s="2471" t="s">
        <v>2276</v>
      </c>
      <c r="B99" s="2415"/>
      <c r="C99" s="2415"/>
      <c r="D99" s="2415"/>
      <c r="E99" s="2166"/>
      <c r="F99" s="2166"/>
      <c r="G99" s="2166"/>
      <c r="H99" s="2165"/>
      <c r="I99" s="137"/>
    </row>
    <row r="100" spans="1:35" ht="18.75" customHeight="1">
      <c r="A100" s="3225" t="s">
        <v>2277</v>
      </c>
      <c r="B100" s="3226"/>
      <c r="C100" s="3226"/>
      <c r="D100" s="3242"/>
      <c r="E100" s="3226" t="s">
        <v>2278</v>
      </c>
      <c r="F100" s="3226"/>
      <c r="G100" s="3226"/>
      <c r="H100" s="3242"/>
      <c r="I100" s="137"/>
    </row>
    <row r="101" spans="1:35" ht="18.75" customHeight="1">
      <c r="A101" s="3304" t="s">
        <v>2279</v>
      </c>
      <c r="B101" s="3305"/>
      <c r="C101" s="735" t="str">
        <f>C4</f>
        <v>成本法</v>
      </c>
      <c r="D101" s="736" t="str">
        <f>D4</f>
        <v>假设开发法</v>
      </c>
      <c r="E101" s="3318" t="s">
        <v>2280</v>
      </c>
      <c r="F101" s="3272"/>
      <c r="G101" s="2517" t="s">
        <v>2281</v>
      </c>
      <c r="H101" s="1047">
        <f ca="1">H118</f>
        <v>479297</v>
      </c>
      <c r="I101" s="137"/>
    </row>
    <row r="102" spans="1:35" ht="18.75" customHeight="1">
      <c r="A102" s="3274" t="s">
        <v>2282</v>
      </c>
      <c r="B102" s="2517" t="s">
        <v>2281</v>
      </c>
      <c r="C102" s="735">
        <f ca="1">C19</f>
        <v>474997</v>
      </c>
      <c r="D102" s="736">
        <f ca="1">D19</f>
        <v>483597</v>
      </c>
      <c r="E102" s="3318"/>
      <c r="F102" s="3272"/>
      <c r="G102" s="2517" t="s">
        <v>2283</v>
      </c>
      <c r="H102" s="370">
        <f ca="1">I118</f>
        <v>21870</v>
      </c>
      <c r="I102" s="137"/>
    </row>
    <row r="103" spans="1:35" ht="42.75" customHeight="1">
      <c r="A103" s="3274"/>
      <c r="B103" s="2517" t="s">
        <v>2283</v>
      </c>
      <c r="C103" s="737">
        <f ca="1">C20</f>
        <v>21673</v>
      </c>
      <c r="D103" s="738">
        <f ca="1">D20</f>
        <v>22066</v>
      </c>
      <c r="E103" s="3313" t="s">
        <v>2284</v>
      </c>
      <c r="F103" s="3314"/>
      <c r="G103" s="2518" t="s">
        <v>2285</v>
      </c>
      <c r="H103" s="1047">
        <f>IF(D36="正常操作",H104+H105+H106,H105+H106)</f>
        <v>0</v>
      </c>
      <c r="I103" s="137"/>
    </row>
    <row r="104" spans="1:35" ht="18.75" customHeight="1">
      <c r="A104" s="3274" t="s">
        <v>2286</v>
      </c>
      <c r="B104" s="2519" t="s">
        <v>2281</v>
      </c>
      <c r="C104" s="739">
        <f ca="1">H118</f>
        <v>479297</v>
      </c>
      <c r="D104" s="740"/>
      <c r="E104" s="2266" t="s">
        <v>2287</v>
      </c>
      <c r="F104" s="2258"/>
      <c r="G104" s="2518" t="s">
        <v>2285</v>
      </c>
      <c r="H104" s="1048">
        <f>IF(D36="同一抵押权人同一抵押物续贷",C36&amp;"（未扣减，详见特别提示）",C36)</f>
        <v>0</v>
      </c>
      <c r="I104" s="137"/>
    </row>
    <row r="105" spans="1:35" ht="18.75" customHeight="1" thickBot="1">
      <c r="A105" s="3275"/>
      <c r="B105" s="2520" t="s">
        <v>2283</v>
      </c>
      <c r="C105" s="741">
        <f ca="1">I118</f>
        <v>21870</v>
      </c>
      <c r="D105" s="742"/>
      <c r="E105" s="2266" t="s">
        <v>2288</v>
      </c>
      <c r="F105" s="2258"/>
      <c r="G105" s="2518" t="s">
        <v>2285</v>
      </c>
      <c r="H105" s="1048">
        <f>C37</f>
        <v>0</v>
      </c>
      <c r="I105" s="137"/>
    </row>
    <row r="106" spans="1:35" ht="18.75" customHeight="1">
      <c r="A106" s="2415" t="s">
        <v>2289</v>
      </c>
      <c r="B106" s="2415"/>
      <c r="C106" s="2415"/>
      <c r="D106" s="2415"/>
      <c r="E106" s="2521" t="s">
        <v>2290</v>
      </c>
      <c r="F106" s="2258"/>
      <c r="G106" s="2518" t="s">
        <v>2285</v>
      </c>
      <c r="H106" s="1048">
        <f>C38</f>
        <v>0</v>
      </c>
      <c r="I106" s="137"/>
    </row>
    <row r="107" spans="1:35" ht="18.75" customHeight="1">
      <c r="A107" s="137"/>
      <c r="B107" s="137"/>
      <c r="C107" s="137"/>
      <c r="D107" s="137"/>
      <c r="E107" s="3271" t="str">
        <f>IF(项目基本情况!E8="已注销","——","3.房地产抵押价值")</f>
        <v>3.房地产抵押价值</v>
      </c>
      <c r="F107" s="3272"/>
      <c r="G107" s="2517" t="s">
        <v>2281</v>
      </c>
      <c r="H107" s="1047">
        <f ca="1">IF(E107="——","——",H101-H103)</f>
        <v>479297</v>
      </c>
      <c r="I107" s="137"/>
    </row>
    <row r="108" spans="1:35" ht="18.75" customHeight="1">
      <c r="A108" s="137"/>
      <c r="B108" s="137"/>
      <c r="C108" s="137"/>
      <c r="D108" s="137"/>
      <c r="E108" s="3271"/>
      <c r="F108" s="3272"/>
      <c r="G108" s="2517" t="s">
        <v>2283</v>
      </c>
      <c r="H108" s="370">
        <f ca="1">ROUND(H107*10000/'数据-汇总表'!E3,0)</f>
        <v>21870</v>
      </c>
      <c r="I108" s="137"/>
    </row>
    <row r="109" spans="1:35" ht="18.75" customHeight="1">
      <c r="A109" s="137"/>
      <c r="B109" s="137"/>
      <c r="C109" s="137"/>
      <c r="D109" s="137"/>
      <c r="E109" s="3271" t="str">
        <f>IF(项目基本情况!E8="已注销及未注销","4.抵押担保权已注销时的房地产抵押价值",IF(项目基本情况!E8="已注销","3.抵押担保权已注销时的房地产抵押价值","——"))</f>
        <v>——</v>
      </c>
      <c r="F109" s="3272"/>
      <c r="G109" s="2517" t="s">
        <v>2281</v>
      </c>
      <c r="H109" s="347" t="str">
        <f>IF(E109="——","——",H101-H105-H106)</f>
        <v>——</v>
      </c>
      <c r="I109" s="137"/>
    </row>
    <row r="110" spans="1:35" ht="18.75" customHeight="1">
      <c r="A110" s="137"/>
      <c r="B110" s="137"/>
      <c r="C110" s="137"/>
      <c r="D110" s="137"/>
      <c r="E110" s="3271"/>
      <c r="F110" s="3272"/>
      <c r="G110" s="2517" t="s">
        <v>2283</v>
      </c>
      <c r="H110" s="370" t="str">
        <f>IF(H109="——","——",ROUND(H109*10000/'数据-汇总表'!E3,0))</f>
        <v>——</v>
      </c>
      <c r="I110" s="137"/>
    </row>
    <row r="111" spans="1:35" ht="18.75" customHeight="1">
      <c r="A111" s="137"/>
      <c r="B111" s="137"/>
      <c r="C111" s="137"/>
      <c r="D111" s="137"/>
      <c r="E111" s="3306" t="str">
        <f>IF(项目基本情况!E9="抵押净值",IF(OR(项目基本情况!E8="已注销",项目基本情况!E8="房地产抵押价值"),"4.抵押净值","5.抵押净值"),"——")</f>
        <v>——</v>
      </c>
      <c r="F111" s="3307"/>
      <c r="G111" s="2517" t="s">
        <v>2281</v>
      </c>
      <c r="H111" s="1047" t="str">
        <f>IF(E111="——","——",N59)</f>
        <v>——</v>
      </c>
      <c r="I111" s="137"/>
    </row>
    <row r="112" spans="1:35" ht="18.75" customHeight="1" thickBot="1">
      <c r="A112" s="137"/>
      <c r="B112" s="137"/>
      <c r="C112" s="137"/>
      <c r="D112" s="137"/>
      <c r="E112" s="3308"/>
      <c r="F112" s="3309"/>
      <c r="G112" s="2522" t="s">
        <v>2283</v>
      </c>
      <c r="H112" s="789" t="str">
        <f>IF(E111="——","——",N61)</f>
        <v>——</v>
      </c>
      <c r="I112" s="137"/>
    </row>
    <row r="113" spans="1:11" ht="18.75" customHeight="1">
      <c r="A113" s="137"/>
      <c r="B113" s="137"/>
      <c r="C113" s="137"/>
      <c r="D113" s="137"/>
      <c r="E113" s="3276" t="s">
        <v>2289</v>
      </c>
      <c r="F113" s="3276"/>
      <c r="G113" s="3276"/>
      <c r="H113" s="3276"/>
      <c r="I113" s="137"/>
    </row>
    <row r="114" spans="1:11" ht="3.75" customHeight="1">
      <c r="A114" s="2415"/>
      <c r="B114" s="2415"/>
      <c r="C114" s="2415"/>
      <c r="D114" s="2415"/>
      <c r="E114" s="2493"/>
      <c r="F114" s="2493"/>
      <c r="G114" s="2493"/>
      <c r="H114" s="2493"/>
      <c r="I114" s="2415"/>
    </row>
    <row r="115" spans="1:11" ht="18.75" customHeight="1">
      <c r="A115" s="3289" t="s">
        <v>2291</v>
      </c>
      <c r="B115" s="3290"/>
      <c r="C115" s="3290"/>
      <c r="D115" s="3290"/>
      <c r="E115" s="3290"/>
      <c r="F115" s="3290"/>
      <c r="G115" s="3290"/>
      <c r="H115" s="3290"/>
      <c r="I115" s="3291"/>
    </row>
    <row r="116" spans="1:11" ht="27" customHeight="1">
      <c r="A116" s="3128" t="s">
        <v>2292</v>
      </c>
      <c r="B116" s="3277" t="s">
        <v>2293</v>
      </c>
      <c r="C116" s="3277" t="s">
        <v>2294</v>
      </c>
      <c r="D116" s="3293" t="s">
        <v>2295</v>
      </c>
      <c r="E116" s="3294"/>
      <c r="F116" s="3285" t="s">
        <v>2296</v>
      </c>
      <c r="G116" s="3285"/>
      <c r="H116" s="3128" t="s">
        <v>2297</v>
      </c>
      <c r="I116" s="3128"/>
    </row>
    <row r="117" spans="1:11" ht="18.75" customHeight="1">
      <c r="A117" s="3128"/>
      <c r="B117" s="3278"/>
      <c r="C117" s="3278"/>
      <c r="D117" s="1796" t="s">
        <v>2298</v>
      </c>
      <c r="E117" s="1796" t="s">
        <v>2299</v>
      </c>
      <c r="F117" s="1796" t="s">
        <v>2298</v>
      </c>
      <c r="G117" s="1796" t="s">
        <v>2300</v>
      </c>
      <c r="H117" s="1796" t="s">
        <v>2298</v>
      </c>
      <c r="I117" s="1796" t="s">
        <v>2300</v>
      </c>
    </row>
    <row r="118" spans="1:11" ht="24.75" customHeight="1">
      <c r="A118" s="2523" t="str">
        <f>项目基本情况!S2</f>
        <v>北京市顺义区高丽营镇于庄03-31地块出让国有建设用地使用权及在建建筑物房地产</v>
      </c>
      <c r="B118" s="1796">
        <f>M18</f>
        <v>219161.38</v>
      </c>
      <c r="C118" s="1796">
        <f>M19</f>
        <v>82881.19</v>
      </c>
      <c r="D118" s="1796">
        <f ca="1">ROUND(IF(D32="总价",C34,E118*B118/10000),0)</f>
        <v>462042</v>
      </c>
      <c r="E118" s="1796">
        <f ca="1">ROUND(IF(C33="自定义",IF(D32="楼面单价",C34,D118*10000/B118),I118-G118),0)</f>
        <v>21083</v>
      </c>
      <c r="F118" s="1796">
        <f ca="1">ROUND(IF(D32="总价",C35,G118*B118/10000),0)</f>
        <v>17255</v>
      </c>
      <c r="G118" s="1796">
        <f ca="1">ROUND(IF(D32="楼面单价",C35,F118*10000/B118),0)</f>
        <v>787</v>
      </c>
      <c r="H118" s="1796">
        <f ca="1">ROUND(IF(D32="总价",C32,I118*B118/10000),0)</f>
        <v>479297</v>
      </c>
      <c r="I118" s="1796">
        <f ca="1">ROUND(IF(D32="楼面单价",C32,H118*10000/B118),0)</f>
        <v>21870</v>
      </c>
    </row>
    <row r="119" spans="1:11" ht="18.75" customHeight="1">
      <c r="A119" s="3128" t="s">
        <v>2301</v>
      </c>
      <c r="B119" s="3128"/>
      <c r="C119" s="3128"/>
      <c r="D119" s="3282" t="str">
        <f ca="1">NUMBERSTRING(INT(D118*10000),2)&amp;"元整"</f>
        <v>肆拾陆亿贰仟零肆拾贰万元整</v>
      </c>
      <c r="E119" s="3284"/>
      <c r="F119" s="3282" t="str">
        <f ca="1">NUMBERSTRING(INT(F118*10000),2)&amp;"元整"</f>
        <v>壹亿柒仟贰佰伍拾伍万元整</v>
      </c>
      <c r="G119" s="3284"/>
      <c r="H119" s="3282" t="str">
        <f ca="1">NUMBERSTRING(INT(H118*10000),2)&amp;"元整"</f>
        <v>肆拾柒亿玖仟贰佰玖拾柒万元整</v>
      </c>
      <c r="I119" s="3284"/>
    </row>
    <row r="120" spans="1:11" ht="18.75" customHeight="1">
      <c r="A120" s="3310" t="str">
        <f>IF(项目基本情况!B9="房地产市场价值","",MID(E103,3,LEN(E103)-2))</f>
        <v>估价师知悉的法定优先受偿款</v>
      </c>
      <c r="B120" s="3311"/>
      <c r="C120" s="3312"/>
      <c r="D120" s="3310">
        <f>H103</f>
        <v>0</v>
      </c>
      <c r="E120" s="3311"/>
      <c r="F120" s="3311"/>
      <c r="G120" s="3311"/>
      <c r="H120" s="3311"/>
      <c r="I120" s="3312"/>
      <c r="K120" s="2420" t="str">
        <f>IF(D120=0,"故，本次评估不存在"&amp;A120,"故，本次评估"&amp;A120&amp;"为人民币"&amp;D120&amp;"万元整。")</f>
        <v>故，本次评估不存在估价师知悉的法定优先受偿款</v>
      </c>
    </row>
    <row r="121" spans="1:11" ht="18.75" customHeight="1">
      <c r="A121" s="3286" t="s">
        <v>2301</v>
      </c>
      <c r="B121" s="3287"/>
      <c r="C121" s="3288"/>
      <c r="D121" s="3282" t="str">
        <f>IF(D120=0,"零元整",NUMBERSTRING(INT(D120*10000),2)&amp;"元整")</f>
        <v>零元整</v>
      </c>
      <c r="E121" s="3283"/>
      <c r="F121" s="3283"/>
      <c r="G121" s="3283"/>
      <c r="H121" s="3283"/>
      <c r="I121" s="3284"/>
    </row>
    <row r="122" spans="1:11" ht="18.75" customHeight="1">
      <c r="A122" s="3273" t="str">
        <f>IF(项目基本情况!B9="房地产市场价值","",MID(E107,3,LEN(E107)-2))</f>
        <v>房地产抵押价值</v>
      </c>
      <c r="B122" s="3273"/>
      <c r="C122" s="3273"/>
      <c r="D122" s="3310">
        <f ca="1">H107</f>
        <v>479297</v>
      </c>
      <c r="E122" s="3311"/>
      <c r="F122" s="3311"/>
      <c r="G122" s="3311"/>
      <c r="H122" s="3311"/>
      <c r="I122" s="3312"/>
    </row>
    <row r="123" spans="1:11" ht="18.75" customHeight="1">
      <c r="A123" s="3128" t="s">
        <v>2301</v>
      </c>
      <c r="B123" s="3128"/>
      <c r="C123" s="3128"/>
      <c r="D123" s="3282" t="str">
        <f ca="1">NUMBERSTRING(INT(D122*10000),2)&amp;"元整"</f>
        <v>肆拾柒亿玖仟贰佰玖拾柒万元整</v>
      </c>
      <c r="E123" s="3283"/>
      <c r="F123" s="3283"/>
      <c r="G123" s="3283"/>
      <c r="H123" s="3283"/>
      <c r="I123" s="3284"/>
    </row>
    <row r="124" spans="1:11" ht="18.75" customHeight="1">
      <c r="A124" s="3273" t="str">
        <f>IF(项目基本情况!B9="房地产市场价值","",MID(E109,3,LEN(E109)-2))</f>
        <v/>
      </c>
      <c r="B124" s="3273"/>
      <c r="C124" s="3273"/>
      <c r="D124" s="3310" t="str">
        <f>H109</f>
        <v>——</v>
      </c>
      <c r="E124" s="3311"/>
      <c r="F124" s="3311"/>
      <c r="G124" s="3311"/>
      <c r="H124" s="3311"/>
      <c r="I124" s="3312"/>
    </row>
    <row r="125" spans="1:11" ht="18.75" customHeight="1">
      <c r="A125" s="3128" t="s">
        <v>2301</v>
      </c>
      <c r="B125" s="3128"/>
      <c r="C125" s="3128"/>
      <c r="D125" s="3282" t="e">
        <f>NUMBERSTRING(INT(D124*10000),2)&amp;"元整"</f>
        <v>#VALUE!</v>
      </c>
      <c r="E125" s="3283"/>
      <c r="F125" s="3283"/>
      <c r="G125" s="3283"/>
      <c r="H125" s="3283"/>
      <c r="I125" s="3284"/>
    </row>
    <row r="126" spans="1:11" ht="18.75" customHeight="1">
      <c r="A126" s="3273" t="str">
        <f>IF(项目基本情况!B9="房地产市场价值","",MID(E111,3,LEN(E111)-2))</f>
        <v/>
      </c>
      <c r="B126" s="3273"/>
      <c r="C126" s="3273"/>
      <c r="D126" s="3310" t="str">
        <f>H111</f>
        <v>——</v>
      </c>
      <c r="E126" s="3311"/>
      <c r="F126" s="3311"/>
      <c r="G126" s="3311"/>
      <c r="H126" s="3311"/>
      <c r="I126" s="3312"/>
    </row>
    <row r="127" spans="1:11" ht="18.75" customHeight="1">
      <c r="A127" s="3128" t="s">
        <v>2301</v>
      </c>
      <c r="B127" s="3128"/>
      <c r="C127" s="3128"/>
      <c r="D127" s="3282" t="e">
        <f>NUMBERSTRING(INT(D126*10000),2)&amp;"元整"</f>
        <v>#VALUE!</v>
      </c>
      <c r="E127" s="3283"/>
      <c r="F127" s="3283"/>
      <c r="G127" s="3283"/>
      <c r="H127" s="3283"/>
      <c r="I127" s="3284"/>
    </row>
    <row r="128" spans="1:11" ht="21.75" customHeight="1">
      <c r="A128" s="3292" t="s">
        <v>2302</v>
      </c>
      <c r="B128" s="3292"/>
      <c r="C128" s="3292"/>
      <c r="D128" s="3292"/>
      <c r="E128" s="3292"/>
      <c r="F128" s="3292"/>
      <c r="G128" s="3292"/>
      <c r="H128" s="3292"/>
      <c r="I128" s="3292"/>
    </row>
    <row r="129" spans="1:35" ht="21.75" customHeight="1">
      <c r="A129" s="2524" t="s">
        <v>2303</v>
      </c>
      <c r="B129" s="2525"/>
      <c r="C129" s="2526" t="s">
        <v>2304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2305</v>
      </c>
      <c r="G135" s="2541"/>
      <c r="H135" s="2541"/>
      <c r="I135" s="2542" t="s">
        <v>2306</v>
      </c>
    </row>
    <row r="136" spans="1:35" ht="21.75" customHeight="1">
      <c r="A136" s="794"/>
      <c r="B136" s="2543" t="s">
        <v>2307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2308</v>
      </c>
    </row>
    <row r="139" spans="1:35" ht="21.75" customHeight="1">
      <c r="A139" s="794"/>
      <c r="B139" s="2543" t="s">
        <v>2309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2308</v>
      </c>
    </row>
    <row r="142" spans="1:35" ht="21.75" customHeight="1">
      <c r="A142" s="794"/>
      <c r="B142" s="2543"/>
      <c r="C142" s="2544"/>
      <c r="D142" s="2545"/>
      <c r="E142" s="2545"/>
      <c r="F142" s="2340"/>
      <c r="G142" s="794"/>
      <c r="H142" s="794"/>
      <c r="I142" s="794"/>
    </row>
    <row r="143" spans="1:35" s="138"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2310</v>
      </c>
      <c r="B1" s="1938"/>
      <c r="C1" s="241"/>
      <c r="D1" s="241"/>
      <c r="E1" s="241"/>
      <c r="F1" s="241"/>
      <c r="G1" s="1381">
        <f>MATCH(B1,'数据-取费表'!A6:A16,0)+5</f>
        <v>13</v>
      </c>
    </row>
    <row r="2" spans="1:9" s="243" customFormat="1" ht="18" customHeight="1">
      <c r="A2" s="244" t="s">
        <v>2311</v>
      </c>
      <c r="B2" s="245">
        <f ca="1">IF(D2="——",C52,C52-E2)</f>
        <v>474997</v>
      </c>
      <c r="C2" s="242" t="s">
        <v>2312</v>
      </c>
      <c r="D2" s="2546" t="s">
        <v>70</v>
      </c>
      <c r="E2" s="1442" t="e">
        <f ca="1">SUMIF(INDIRECT("'"&amp;G2&amp;"'"&amp;"!A:A"),"承租人权益价值",INDIRECT("'"&amp;G2&amp;"'"&amp;"!c:c"))</f>
        <v>#REF!</v>
      </c>
      <c r="F2" s="2547" t="s">
        <v>2312</v>
      </c>
      <c r="G2" s="2548"/>
    </row>
    <row r="3" spans="1:9" s="243" customFormat="1" ht="18" customHeight="1" thickBot="1">
      <c r="A3" s="246" t="s">
        <v>2313</v>
      </c>
      <c r="B3" s="247">
        <f ca="1">ROUND(B2*10000/(IF(B1="",'数据-汇总表'!E3,INDIRECT("'数据-取费表'!k"&amp;$G$1))),0)</f>
        <v>21673</v>
      </c>
      <c r="C3" s="242" t="s">
        <v>2314</v>
      </c>
      <c r="D3" s="242"/>
      <c r="E3" s="242"/>
      <c r="F3" s="242"/>
      <c r="G3" s="242"/>
    </row>
    <row r="4" spans="1:9" s="251" customFormat="1" ht="15.75">
      <c r="A4" s="248" t="s">
        <v>2315</v>
      </c>
      <c r="B4" s="249"/>
      <c r="C4" s="249"/>
      <c r="D4" s="249"/>
      <c r="E4" s="249"/>
      <c r="F4" s="249"/>
      <c r="G4" s="250"/>
    </row>
    <row r="5" spans="1:9" s="257" customFormat="1" ht="13.5" customHeight="1">
      <c r="A5" s="298" t="s">
        <v>2316</v>
      </c>
      <c r="B5" s="253" t="s">
        <v>2317</v>
      </c>
      <c r="C5" s="254">
        <f>C6+C7+C8</f>
        <v>402400</v>
      </c>
      <c r="D5" s="254" t="s">
        <v>2318</v>
      </c>
      <c r="E5" s="255" t="s">
        <v>2319</v>
      </c>
      <c r="F5" s="255" t="s">
        <v>2320</v>
      </c>
      <c r="G5" s="256"/>
    </row>
    <row r="6" spans="1:9" s="257" customFormat="1" ht="13.5" customHeight="1">
      <c r="A6" s="951" t="s">
        <v>2321</v>
      </c>
      <c r="B6" s="258" t="s">
        <v>2322</v>
      </c>
      <c r="C6" s="259">
        <f>'土地比较法-住宅、综合'!B2</f>
        <v>390490</v>
      </c>
      <c r="D6" s="260"/>
      <c r="E6" s="261"/>
      <c r="F6" s="261"/>
      <c r="G6" s="262"/>
    </row>
    <row r="7" spans="1:9" s="257" customFormat="1" ht="13.5" customHeight="1">
      <c r="A7" s="951" t="s">
        <v>2323</v>
      </c>
      <c r="B7" s="258" t="s">
        <v>2324</v>
      </c>
      <c r="C7" s="263">
        <f>ROUND(C6*F7,0)</f>
        <v>11910</v>
      </c>
      <c r="D7" s="263"/>
      <c r="E7" s="261"/>
      <c r="F7" s="264">
        <f>'数据-取费表'!B48+'数据-取费表'!B49</f>
        <v>3.0499999999999999E-2</v>
      </c>
      <c r="G7" s="262"/>
    </row>
    <row r="8" spans="1:9" s="266" customFormat="1">
      <c r="A8" s="951" t="s">
        <v>2325</v>
      </c>
      <c r="B8" s="258" t="s">
        <v>2326</v>
      </c>
      <c r="C8" s="263">
        <f>IF(G8="已包含在土地购买价格中","0",IF(B1="",'数据-取费表'!B29,IF(G9="全部缴纳",C9+C10,H9)))</f>
        <v>0</v>
      </c>
      <c r="D8" s="265"/>
      <c r="E8" s="263"/>
      <c r="F8" s="264"/>
      <c r="G8" s="2549" t="s">
        <v>3284</v>
      </c>
    </row>
    <row r="9" spans="1:9" s="257" customFormat="1" ht="13.5" customHeight="1">
      <c r="A9" s="952" t="s">
        <v>800</v>
      </c>
      <c r="B9" s="267" t="s">
        <v>2327</v>
      </c>
      <c r="C9" s="268">
        <f ca="1">ROUND(D9*E9/10000,0)</f>
        <v>0</v>
      </c>
      <c r="D9" s="1034">
        <f ca="1">IF(B1="",'数据-汇总表'!E5,IF(INDIRECT("'数据-取费表'!c"&amp;$G$1)="住宅",INDIRECT("'数据-取费表'!k"&amp;$G$1),0))</f>
        <v>86551.15</v>
      </c>
      <c r="E9" s="268">
        <f>'数据-取费表'!B27</f>
        <v>0</v>
      </c>
      <c r="F9" s="264"/>
      <c r="G9" s="2550"/>
      <c r="H9" s="1392"/>
      <c r="I9" s="2551" t="s">
        <v>2328</v>
      </c>
    </row>
    <row r="10" spans="1:9" s="257" customFormat="1" ht="13.5" customHeight="1">
      <c r="A10" s="952" t="s">
        <v>801</v>
      </c>
      <c r="B10" s="267" t="s">
        <v>2329</v>
      </c>
      <c r="C10" s="268">
        <f ca="1">ROUND(D10*E10/10000,0)</f>
        <v>0</v>
      </c>
      <c r="D10" s="1034">
        <f ca="1">IF(B1="",'数据-汇总表'!E6,IF(INDIRECT("'数据-取费表'!c"&amp;$G$1)="住宅",INDIRECT("'数据-取费表'!s"&amp;$G$1),INDIRECT("'数据-取费表'!k"&amp;$G$1)+INDIRECT("'数据-取费表'!s"&amp;$G$1)))</f>
        <v>132610.23000000001</v>
      </c>
      <c r="E10" s="268">
        <f>'数据-取费表'!B28</f>
        <v>0</v>
      </c>
      <c r="F10" s="264"/>
      <c r="G10" s="269"/>
    </row>
    <row r="11" spans="1:9" s="257" customFormat="1" ht="13.5" hidden="1" customHeight="1">
      <c r="A11" s="270" t="s">
        <v>7</v>
      </c>
      <c r="B11" s="258" t="s">
        <v>2330</v>
      </c>
      <c r="C11" s="254"/>
      <c r="D11" s="1036"/>
      <c r="E11" s="261"/>
      <c r="F11" s="261"/>
      <c r="G11" s="262"/>
    </row>
    <row r="12" spans="1:9" s="257" customFormat="1" ht="13.5" hidden="1" customHeight="1">
      <c r="A12" s="270" t="s">
        <v>8</v>
      </c>
      <c r="B12" s="258" t="s">
        <v>2331</v>
      </c>
      <c r="C12" s="254">
        <v>0</v>
      </c>
      <c r="D12" s="1036"/>
      <c r="E12" s="271"/>
      <c r="F12" s="264">
        <v>3.0499999999999999E-2</v>
      </c>
      <c r="G12" s="262"/>
    </row>
    <row r="13" spans="1:9" s="257" customFormat="1" ht="13.5" hidden="1" customHeight="1">
      <c r="A13" s="270" t="s">
        <v>9</v>
      </c>
      <c r="B13" s="258" t="s">
        <v>2332</v>
      </c>
      <c r="C13" s="254"/>
      <c r="D13" s="1036"/>
      <c r="E13" s="261"/>
      <c r="F13" s="261"/>
      <c r="G13" s="262"/>
    </row>
    <row r="14" spans="1:9" s="257" customFormat="1" ht="13.5" hidden="1" customHeight="1">
      <c r="A14" s="270" t="s">
        <v>10</v>
      </c>
      <c r="B14" s="258" t="s">
        <v>2333</v>
      </c>
      <c r="C14" s="254"/>
      <c r="D14" s="1036"/>
      <c r="E14" s="261"/>
      <c r="F14" s="261"/>
      <c r="G14" s="262" t="s">
        <v>2334</v>
      </c>
    </row>
    <row r="15" spans="1:9" s="257" customFormat="1" ht="13.5" hidden="1" customHeight="1">
      <c r="A15" s="270" t="s">
        <v>11</v>
      </c>
      <c r="B15" s="258" t="s">
        <v>2335</v>
      </c>
      <c r="C15" s="263"/>
      <c r="D15" s="1036"/>
      <c r="E15" s="261"/>
      <c r="F15" s="261"/>
      <c r="G15" s="262" t="s">
        <v>2336</v>
      </c>
    </row>
    <row r="16" spans="1:9" s="257" customFormat="1" ht="13.5" hidden="1" customHeight="1">
      <c r="A16" s="270" t="s">
        <v>12</v>
      </c>
      <c r="B16" s="258" t="s">
        <v>2333</v>
      </c>
      <c r="C16" s="263"/>
      <c r="D16" s="1036"/>
      <c r="E16" s="261"/>
      <c r="F16" s="261"/>
      <c r="G16" s="262"/>
    </row>
    <row r="17" spans="1:7" s="257" customFormat="1" ht="13.5" hidden="1" customHeight="1">
      <c r="A17" s="270" t="s">
        <v>13</v>
      </c>
      <c r="B17" s="258" t="s">
        <v>2337</v>
      </c>
      <c r="C17" s="272"/>
      <c r="D17" s="1037"/>
      <c r="E17" s="272"/>
      <c r="F17" s="272"/>
      <c r="G17" s="262" t="s">
        <v>2336</v>
      </c>
    </row>
    <row r="18" spans="1:7" s="257" customFormat="1" ht="13.5" hidden="1" customHeight="1">
      <c r="A18" s="270" t="s">
        <v>14</v>
      </c>
      <c r="B18" s="258" t="s">
        <v>2338</v>
      </c>
      <c r="C18" s="263">
        <v>0</v>
      </c>
      <c r="D18" s="1036"/>
      <c r="E18" s="261"/>
      <c r="F18" s="264">
        <v>3.0499999999999999E-2</v>
      </c>
      <c r="G18" s="262" t="s">
        <v>2339</v>
      </c>
    </row>
    <row r="19" spans="1:7" s="266" customFormat="1" ht="13.5" customHeight="1">
      <c r="A19" s="298" t="s">
        <v>2340</v>
      </c>
      <c r="B19" s="253" t="s">
        <v>2341</v>
      </c>
      <c r="C19" s="254" t="str">
        <f>IF(G19="已包含在土地取得成本中","0",ROUND(D19*E19/10000,0))</f>
        <v>0</v>
      </c>
      <c r="D19" s="1038">
        <f ca="1">D9+D10</f>
        <v>219161.38</v>
      </c>
      <c r="E19" s="254">
        <f>'数据-取费表'!B31</f>
        <v>100</v>
      </c>
      <c r="F19" s="274"/>
      <c r="G19" s="2549" t="s">
        <v>3285</v>
      </c>
    </row>
    <row r="20" spans="1:7" s="257" customFormat="1" ht="13.5" customHeight="1">
      <c r="A20" s="298" t="s">
        <v>2342</v>
      </c>
      <c r="B20" s="253" t="s">
        <v>2343</v>
      </c>
      <c r="C20" s="275">
        <f>ROUND((C5+C19)*F20,0)</f>
        <v>8048</v>
      </c>
      <c r="D20" s="275"/>
      <c r="E20" s="275"/>
      <c r="F20" s="276">
        <f>'数据-取费表'!B37</f>
        <v>0.02</v>
      </c>
      <c r="G20" s="277" t="s">
        <v>2344</v>
      </c>
    </row>
    <row r="21" spans="1:7" s="257" customFormat="1" ht="13.5" customHeight="1">
      <c r="A21" s="298" t="s">
        <v>2345</v>
      </c>
      <c r="B21" s="253" t="s">
        <v>2346</v>
      </c>
      <c r="C21" s="278">
        <f>F21</f>
        <v>0.02</v>
      </c>
      <c r="D21" s="279" t="s">
        <v>2347</v>
      </c>
      <c r="E21" s="275"/>
      <c r="F21" s="276">
        <f>'数据-取费表'!B38</f>
        <v>0.02</v>
      </c>
      <c r="G21" s="277" t="s">
        <v>2348</v>
      </c>
    </row>
    <row r="22" spans="1:7" s="257" customFormat="1" ht="13.5" customHeight="1">
      <c r="A22" s="298" t="s">
        <v>2349</v>
      </c>
      <c r="B22" s="253" t="s">
        <v>2350</v>
      </c>
      <c r="C22" s="1356">
        <f ca="1">ROUND(SUM(C23:C25),0)</f>
        <v>7614</v>
      </c>
      <c r="D22" s="278">
        <f ca="1">C26</f>
        <v>2.0000000000000001E-4</v>
      </c>
      <c r="E22" s="279" t="s">
        <v>2347</v>
      </c>
      <c r="F22" s="280">
        <f ca="1">'数据-取费表'!B40</f>
        <v>4.7500000000000001E-2</v>
      </c>
      <c r="G22" s="277" t="str">
        <f>IF('数据-取费表'!B22&lt;=1,"单利计息","复利计息")</f>
        <v>复利计息</v>
      </c>
    </row>
    <row r="23" spans="1:7" s="257" customFormat="1" ht="13.5" customHeight="1">
      <c r="A23" s="953" t="s">
        <v>2351</v>
      </c>
      <c r="B23" s="258" t="s">
        <v>2352</v>
      </c>
      <c r="C23" s="1357">
        <f ca="1">ROUND(IF('数据-取费表'!B22&lt;=1,C5*F22*'数据-取费表'!B23,C5*(POWER((1+F22),'数据-取费表'!B23)-1)),0)</f>
        <v>7539</v>
      </c>
      <c r="D23" s="281"/>
      <c r="E23" s="281"/>
      <c r="F23" s="282"/>
      <c r="G23" s="283" t="s">
        <v>2353</v>
      </c>
    </row>
    <row r="24" spans="1:7" s="257" customFormat="1" ht="13.5" customHeight="1">
      <c r="A24" s="953" t="s">
        <v>2354</v>
      </c>
      <c r="B24" s="258" t="s">
        <v>2355</v>
      </c>
      <c r="C24" s="1357">
        <f ca="1">ROUND(IF('数据-取费表'!B22&lt;=1,C19*F22*('数据-取费表'!B19/2+'数据-取费表'!B21),C19*(POWER((1+F22),('数据-取费表'!B19/2+'数据-取费表'!B21))-1)),0)</f>
        <v>0</v>
      </c>
      <c r="D24" s="281"/>
      <c r="E24" s="281"/>
      <c r="F24" s="282"/>
      <c r="G24" s="283" t="s">
        <v>2356</v>
      </c>
    </row>
    <row r="25" spans="1:7" s="257" customFormat="1" ht="24">
      <c r="A25" s="953" t="s">
        <v>2357</v>
      </c>
      <c r="B25" s="258" t="s">
        <v>2358</v>
      </c>
      <c r="C25" s="1357">
        <f ca="1">ROUND(IF('数据-取费表'!B22&lt;=1,C20*F22*'数据-取费表'!B23/2,C20*(POWER((1+F22),'数据-取费表'!B23/2)-1)),0)</f>
        <v>75</v>
      </c>
      <c r="D25" s="281"/>
      <c r="E25" s="284"/>
      <c r="F25" s="282"/>
      <c r="G25" s="285" t="s">
        <v>2359</v>
      </c>
    </row>
    <row r="26" spans="1:7" s="257" customFormat="1">
      <c r="A26" s="953" t="s">
        <v>795</v>
      </c>
      <c r="B26" s="258" t="s">
        <v>2360</v>
      </c>
      <c r="C26" s="281">
        <f ca="1">ROUND(IF('数据-取费表'!B22&lt;=1,F21*F22*'数据-取费表'!B23/2,F21*(POWER((1+F22),'数据-取费表'!B23/2)-1)),4)</f>
        <v>2.0000000000000001E-4</v>
      </c>
      <c r="D26" s="281"/>
      <c r="E26" s="284"/>
      <c r="F26" s="282"/>
      <c r="G26" s="286"/>
    </row>
    <row r="27" spans="1:7" s="257" customFormat="1" ht="24.75">
      <c r="A27" s="298" t="s">
        <v>2361</v>
      </c>
      <c r="B27" s="287" t="s">
        <v>2362</v>
      </c>
      <c r="C27" s="288">
        <f ca="1">C28</f>
        <v>6567</v>
      </c>
      <c r="D27" s="278">
        <f ca="1">C29</f>
        <v>2.9999999999999997E-4</v>
      </c>
      <c r="E27" s="279" t="s">
        <v>2363</v>
      </c>
      <c r="F27" s="289">
        <f ca="1">IF(B1="",'数据-取费表'!Q16,INDIRECT("'数据-取费表'!q"&amp;$G$1))</f>
        <v>0.08</v>
      </c>
      <c r="G27" s="290" t="s">
        <v>2364</v>
      </c>
    </row>
    <row r="28" spans="1:7" s="257" customFormat="1" ht="13.5" customHeight="1">
      <c r="A28" s="953" t="s">
        <v>791</v>
      </c>
      <c r="B28" s="291" t="s">
        <v>2365</v>
      </c>
      <c r="C28" s="292">
        <f ca="1">ROUND((C5+C19+C20)*F27*'数据-取费表'!B21/'数据-取费表'!B20,0)</f>
        <v>6567</v>
      </c>
      <c r="D28" s="278"/>
      <c r="E28" s="279"/>
      <c r="F28" s="289"/>
      <c r="G28" s="290"/>
    </row>
    <row r="29" spans="1:7" s="257" customFormat="1" ht="13.5" customHeight="1">
      <c r="A29" s="953" t="s">
        <v>792</v>
      </c>
      <c r="B29" s="291" t="s">
        <v>2366</v>
      </c>
      <c r="C29" s="281">
        <f ca="1">ROUND(C21*F27*'数据-取费表'!B21/'数据-取费表'!B20,4)</f>
        <v>2.9999999999999997E-4</v>
      </c>
      <c r="D29" s="278"/>
      <c r="E29" s="279"/>
      <c r="F29" s="289"/>
      <c r="G29" s="290"/>
    </row>
    <row r="30" spans="1:7" s="257" customFormat="1" ht="13.5" customHeight="1">
      <c r="A30" s="298" t="s">
        <v>2367</v>
      </c>
      <c r="B30" s="253" t="s">
        <v>2368</v>
      </c>
      <c r="C30" s="278">
        <f>ROUND(F30/(1+'数据-取费表'!C42),4)</f>
        <v>5.2400000000000002E-2</v>
      </c>
      <c r="D30" s="279" t="s">
        <v>2363</v>
      </c>
      <c r="E30" s="284"/>
      <c r="F30" s="280">
        <f>'数据-取费表'!B41</f>
        <v>5.5000000000000007E-2</v>
      </c>
      <c r="G30" s="277" t="s">
        <v>2369</v>
      </c>
    </row>
    <row r="31" spans="1:7" ht="16.5" customHeight="1">
      <c r="A31" s="252">
        <v>1</v>
      </c>
      <c r="B31" s="253" t="s">
        <v>2370</v>
      </c>
      <c r="C31" s="254">
        <f ca="1">ROUND((C5+C19+C20+C22+C27)/(1-C21-D22-D27-C30),0)</f>
        <v>458019</v>
      </c>
      <c r="D31" s="273"/>
      <c r="E31" s="254"/>
      <c r="F31" s="293"/>
      <c r="G31" s="277" t="s">
        <v>2371</v>
      </c>
    </row>
    <row r="32" spans="1:7" s="251" customFormat="1" ht="15.75">
      <c r="A32" s="295" t="s">
        <v>2372</v>
      </c>
      <c r="B32" s="296"/>
      <c r="C32" s="296"/>
      <c r="D32" s="296"/>
      <c r="E32" s="296"/>
      <c r="F32" s="296"/>
      <c r="G32" s="297"/>
    </row>
    <row r="33" spans="1:7" s="257" customFormat="1" ht="13.5" customHeight="1">
      <c r="A33" s="298" t="s">
        <v>782</v>
      </c>
      <c r="B33" s="253" t="s">
        <v>2373</v>
      </c>
      <c r="C33" s="299">
        <f ca="1">SUM(C34:C38)</f>
        <v>14146</v>
      </c>
      <c r="D33" s="275"/>
      <c r="E33" s="255"/>
      <c r="F33" s="284"/>
      <c r="G33" s="277"/>
    </row>
    <row r="34" spans="1:7" s="301" customFormat="1" ht="13.5" customHeight="1">
      <c r="A34" s="953" t="s">
        <v>791</v>
      </c>
      <c r="B34" s="258" t="s">
        <v>2374</v>
      </c>
      <c r="C34" s="263">
        <f ca="1">IF(B1="",IF(F34=100%,'数据-取费表'!M16,'数据-取费表'!O16),IF(F34=100%,INDIRECT("'数据-取费表'!m"&amp;$G$1)+INDIRECT("'数据-取费表'!t"&amp;$G$1),INDIRECT("'数据-取费表'!o"&amp;$G$1)+INDIRECT("'数据-取费表'!aq"&amp;$G$1)))</f>
        <v>12551</v>
      </c>
      <c r="D34" s="260"/>
      <c r="E34" s="263"/>
      <c r="F34" s="300">
        <f ca="1">IF('数据-取费表'!B24=0,1,IF(B1="",'数据-取费表'!N16,INDIRECT("'数据-取费表'!n"&amp;$G$1)))</f>
        <v>0.19</v>
      </c>
      <c r="G34" s="262" t="s">
        <v>2375</v>
      </c>
    </row>
    <row r="35" spans="1:7" ht="13.5" customHeight="1">
      <c r="A35" s="953" t="s">
        <v>796</v>
      </c>
      <c r="B35" s="258" t="s">
        <v>2376</v>
      </c>
      <c r="C35" s="263">
        <f ca="1">ROUND(C34*F35,0)</f>
        <v>377</v>
      </c>
      <c r="D35" s="263"/>
      <c r="E35" s="263"/>
      <c r="F35" s="302">
        <f>'数据-取费表'!B33</f>
        <v>0.03</v>
      </c>
      <c r="G35" s="262" t="s">
        <v>2377</v>
      </c>
    </row>
    <row r="36" spans="1:7" ht="24">
      <c r="A36" s="953" t="s">
        <v>797</v>
      </c>
      <c r="B36" s="258" t="s">
        <v>2378</v>
      </c>
      <c r="C36" s="263">
        <f ca="1">ROUND(IF(B1="",SUMIF('数据-取费表'!C:C,"住宅",IF(F34=100%,'数据-取费表'!M:M,'数据-取费表'!O:O))*F36,IF(INDIRECT("'数据-取费表'!c"&amp;$G$1)="住宅",IF(F34=100%,INDIRECT("'数据-取费表'!m"&amp;$G$1)*F36,INDIRECT("'数据-取费表'!o"&amp;$G$1)*F36),0)),0)</f>
        <v>197</v>
      </c>
      <c r="D36" s="263"/>
      <c r="E36" s="263"/>
      <c r="F36" s="302">
        <f>'数据-取费表'!B34</f>
        <v>0.03</v>
      </c>
      <c r="G36" s="303" t="s">
        <v>2379</v>
      </c>
    </row>
    <row r="37" spans="1:7" s="301" customFormat="1" ht="13.5" customHeight="1">
      <c r="A37" s="953" t="s">
        <v>798</v>
      </c>
      <c r="B37" s="258" t="s">
        <v>2380</v>
      </c>
      <c r="C37" s="292">
        <f ca="1">ROUND(E37*D37*F34/10000,0)</f>
        <v>833</v>
      </c>
      <c r="D37" s="260">
        <f ca="1">D19</f>
        <v>219161.38</v>
      </c>
      <c r="E37" s="292">
        <f>'数据-取费表'!B35</f>
        <v>200</v>
      </c>
      <c r="F37" s="302"/>
      <c r="G37" s="304" t="s">
        <v>2381</v>
      </c>
    </row>
    <row r="38" spans="1:7" ht="13.5" customHeight="1">
      <c r="A38" s="953" t="s">
        <v>799</v>
      </c>
      <c r="B38" s="258" t="s">
        <v>2382</v>
      </c>
      <c r="C38" s="263">
        <f ca="1">ROUND(C34*F38,0)</f>
        <v>188</v>
      </c>
      <c r="D38" s="263"/>
      <c r="E38" s="263"/>
      <c r="F38" s="302">
        <f>'数据-取费表'!B36</f>
        <v>1.4999999999999999E-2</v>
      </c>
      <c r="G38" s="262" t="s">
        <v>2377</v>
      </c>
    </row>
    <row r="39" spans="1:7" s="257" customFormat="1" ht="13.5" customHeight="1">
      <c r="A39" s="298" t="s">
        <v>2383</v>
      </c>
      <c r="B39" s="253" t="s">
        <v>2384</v>
      </c>
      <c r="C39" s="275">
        <f ca="1">ROUND(C33*F20,0)</f>
        <v>283</v>
      </c>
      <c r="D39" s="275"/>
      <c r="E39" s="275"/>
      <c r="F39" s="276"/>
      <c r="G39" s="277" t="s">
        <v>2385</v>
      </c>
    </row>
    <row r="40" spans="1:7" s="257" customFormat="1" ht="13.5" customHeight="1">
      <c r="A40" s="298" t="s">
        <v>2386</v>
      </c>
      <c r="B40" s="253" t="s">
        <v>2387</v>
      </c>
      <c r="C40" s="1729">
        <f>F21</f>
        <v>0.02</v>
      </c>
      <c r="D40" s="279" t="s">
        <v>2388</v>
      </c>
      <c r="E40" s="275"/>
      <c r="F40" s="276"/>
      <c r="G40" s="277" t="s">
        <v>2389</v>
      </c>
    </row>
    <row r="41" spans="1:7" s="257" customFormat="1" ht="13.5" customHeight="1">
      <c r="A41" s="298" t="s">
        <v>2390</v>
      </c>
      <c r="B41" s="253" t="s">
        <v>2391</v>
      </c>
      <c r="C41" s="275">
        <f ca="1">ROUND(SUM(C42:C43),0)</f>
        <v>135</v>
      </c>
      <c r="D41" s="278">
        <f ca="1">C44</f>
        <v>2.0000000000000001E-4</v>
      </c>
      <c r="E41" s="279" t="s">
        <v>2388</v>
      </c>
      <c r="F41" s="280"/>
      <c r="G41" s="277" t="str">
        <f>IF('数据-取费表'!B22&lt;=1,"单利计息","复利计息")</f>
        <v>复利计息</v>
      </c>
    </row>
    <row r="42" spans="1:7" ht="13.5" customHeight="1">
      <c r="A42" s="953" t="s">
        <v>791</v>
      </c>
      <c r="B42" s="258" t="s">
        <v>2392</v>
      </c>
      <c r="C42" s="281">
        <f ca="1">ROUND(IF('数据-取费表'!B22&lt;=1,C33*F22*'数据-取费表'!B21/2,C33*(POWER((1+F22),'数据-取费表'!B21/2)-1)),0)</f>
        <v>132</v>
      </c>
      <c r="D42" s="281"/>
      <c r="E42" s="281"/>
      <c r="F42" s="282"/>
      <c r="G42" s="3324" t="s">
        <v>2393</v>
      </c>
    </row>
    <row r="43" spans="1:7" ht="13.5" customHeight="1">
      <c r="A43" s="953" t="s">
        <v>792</v>
      </c>
      <c r="B43" s="258" t="s">
        <v>2394</v>
      </c>
      <c r="C43" s="281">
        <f ca="1">ROUND(IF('数据-取费表'!B22&lt;=1,C39*F22*'数据-取费表'!B21/2,C39*(POWER((1+F22),'数据-取费表'!B21/2)-1)),0)</f>
        <v>3</v>
      </c>
      <c r="D43" s="281"/>
      <c r="E43" s="281"/>
      <c r="F43" s="282"/>
      <c r="G43" s="3325"/>
    </row>
    <row r="44" spans="1:7" ht="13.5" customHeight="1">
      <c r="A44" s="953" t="s">
        <v>793</v>
      </c>
      <c r="B44" s="258" t="s">
        <v>2395</v>
      </c>
      <c r="C44" s="281">
        <f ca="1">ROUND(IF('数据-取费表'!B22&lt;=1,C40*F22*'数据-取费表'!B21/2,C40*(POWER((1+F22),'数据-取费表'!B21/2)-1)),4)</f>
        <v>2.0000000000000001E-4</v>
      </c>
      <c r="D44" s="281"/>
      <c r="E44" s="281"/>
      <c r="F44" s="282"/>
      <c r="G44" s="3326"/>
    </row>
    <row r="45" spans="1:7" s="257" customFormat="1" ht="13.5" customHeight="1">
      <c r="A45" s="298" t="s">
        <v>2396</v>
      </c>
      <c r="B45" s="287" t="s">
        <v>2362</v>
      </c>
      <c r="C45" s="288">
        <f ca="1">C46</f>
        <v>1154</v>
      </c>
      <c r="D45" s="278">
        <f ca="1">C47</f>
        <v>1.6000000000000001E-3</v>
      </c>
      <c r="E45" s="279" t="s">
        <v>2388</v>
      </c>
      <c r="F45" s="289"/>
      <c r="G45" s="290" t="s">
        <v>2397</v>
      </c>
    </row>
    <row r="46" spans="1:7" s="257" customFormat="1" ht="13.5" customHeight="1">
      <c r="A46" s="953" t="s">
        <v>791</v>
      </c>
      <c r="B46" s="291" t="s">
        <v>2398</v>
      </c>
      <c r="C46" s="292">
        <f ca="1">ROUND((C33+C39)*F27,0)</f>
        <v>1154</v>
      </c>
      <c r="D46" s="306"/>
      <c r="E46" s="279"/>
      <c r="F46" s="289"/>
      <c r="G46" s="290"/>
    </row>
    <row r="47" spans="1:7" s="257" customFormat="1" ht="13.5" customHeight="1">
      <c r="A47" s="953" t="s">
        <v>792</v>
      </c>
      <c r="B47" s="291" t="s">
        <v>2399</v>
      </c>
      <c r="C47" s="281">
        <f ca="1">ROUND(C40*F27,4)</f>
        <v>1.6000000000000001E-3</v>
      </c>
      <c r="D47" s="306"/>
      <c r="E47" s="279"/>
      <c r="F47" s="289"/>
      <c r="G47" s="290"/>
    </row>
    <row r="48" spans="1:7" s="257" customFormat="1" ht="13.5" customHeight="1">
      <c r="A48" s="298" t="s">
        <v>2361</v>
      </c>
      <c r="B48" s="253" t="s">
        <v>2400</v>
      </c>
      <c r="C48" s="1729">
        <f>ROUND(F30/(1+'数据-取费表'!C42),4)</f>
        <v>5.2400000000000002E-2</v>
      </c>
      <c r="D48" s="279" t="s">
        <v>2388</v>
      </c>
      <c r="E48" s="275"/>
      <c r="F48" s="280"/>
      <c r="G48" s="277" t="s">
        <v>2401</v>
      </c>
    </row>
    <row r="49" spans="1:7" ht="16.5" customHeight="1">
      <c r="A49" s="298" t="s">
        <v>2367</v>
      </c>
      <c r="B49" s="253" t="s">
        <v>2402</v>
      </c>
      <c r="C49" s="275">
        <f ca="1">ROUND((C33+C39+C41+C45)/(1-C40-D41-D45-C48),0)</f>
        <v>16978</v>
      </c>
      <c r="D49" s="275"/>
      <c r="E49" s="275"/>
      <c r="F49" s="307"/>
      <c r="G49" s="277" t="s">
        <v>2403</v>
      </c>
    </row>
    <row r="50" spans="1:7" s="301" customFormat="1" ht="24">
      <c r="A50" s="298" t="s">
        <v>2404</v>
      </c>
      <c r="B50" s="253" t="s">
        <v>2405</v>
      </c>
      <c r="C50" s="275"/>
      <c r="D50" s="275"/>
      <c r="E50" s="275"/>
      <c r="F50" s="307">
        <f>IF('数据-取费表'!B24=0,'数据-取费表'!N16,1)</f>
        <v>1</v>
      </c>
      <c r="G50" s="290" t="s">
        <v>2406</v>
      </c>
    </row>
    <row r="51" spans="1:7" ht="16.5" customHeight="1">
      <c r="A51" s="298" t="s">
        <v>2407</v>
      </c>
      <c r="B51" s="253" t="s">
        <v>2408</v>
      </c>
      <c r="C51" s="275">
        <f ca="1">ROUND(C49*F50,0)</f>
        <v>16978</v>
      </c>
      <c r="D51" s="275"/>
      <c r="E51" s="275"/>
      <c r="F51" s="307"/>
      <c r="G51" s="277" t="s">
        <v>2409</v>
      </c>
    </row>
    <row r="52" spans="1:7" s="251" customFormat="1" ht="16.5" thickBot="1">
      <c r="A52" s="308" t="s">
        <v>2410</v>
      </c>
      <c r="B52" s="309"/>
      <c r="C52" s="310">
        <f ca="1">C31+C51</f>
        <v>474997</v>
      </c>
      <c r="D52" s="309"/>
      <c r="E52" s="309"/>
      <c r="F52" s="309"/>
      <c r="G52" s="311"/>
    </row>
    <row r="55" spans="1:7" ht="15">
      <c r="B55" s="313" t="s">
        <v>2411</v>
      </c>
      <c r="C55" s="314"/>
    </row>
    <row r="56" spans="1:7">
      <c r="B56" s="316" t="s">
        <v>1509</v>
      </c>
      <c r="C56" s="318">
        <f ca="1">1-C57</f>
        <v>0.96399999999999997</v>
      </c>
    </row>
    <row r="57" spans="1:7">
      <c r="B57" s="316" t="s">
        <v>1510</v>
      </c>
      <c r="C57" s="317">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2310</v>
      </c>
      <c r="B1" s="1938"/>
      <c r="C1" s="2552" t="s">
        <v>2412</v>
      </c>
      <c r="D1" s="241"/>
      <c r="E1" s="241"/>
      <c r="F1" s="241"/>
      <c r="G1" s="1381">
        <f>MATCH(B1,'数据-取费表'!A6:A16,0)+5</f>
        <v>13</v>
      </c>
      <c r="H1" s="1284" t="str">
        <f>IF(ISERROR(FIND("住宅",B1)),"非住宅","住宅")</f>
        <v>非住宅</v>
      </c>
    </row>
    <row r="2" spans="1:8" s="243" customFormat="1" ht="18" customHeight="1">
      <c r="A2" s="244" t="s">
        <v>2311</v>
      </c>
      <c r="B2" s="245">
        <f ca="1">ROUND(IF(D2="——",C52/10000,C52/10000-E2),0)</f>
        <v>95416</v>
      </c>
      <c r="C2" s="242" t="s">
        <v>2312</v>
      </c>
      <c r="D2" s="2546" t="s">
        <v>70</v>
      </c>
      <c r="E2" s="1442" t="e">
        <f ca="1">SUMIF(INDIRECT("'"&amp;G2&amp;"'"&amp;"!A:A"),"承租人权益价值",INDIRECT("'"&amp;G2&amp;"'"&amp;"!c:c"))</f>
        <v>#REF!</v>
      </c>
      <c r="F2" s="2547" t="s">
        <v>2312</v>
      </c>
      <c r="G2" s="2548"/>
    </row>
    <row r="3" spans="1:8" s="243" customFormat="1" ht="18" customHeight="1" thickBot="1">
      <c r="A3" s="246" t="s">
        <v>2313</v>
      </c>
      <c r="B3" s="247">
        <f ca="1">ROUND(B2*10000/(IF(B1="",'数据-汇总表'!E3,INDIRECT("'数据-取费表'!k"&amp;$G$1))),0)</f>
        <v>4354</v>
      </c>
      <c r="C3" s="242" t="s">
        <v>2314</v>
      </c>
      <c r="D3" s="242"/>
      <c r="E3" s="242"/>
      <c r="F3" s="242"/>
      <c r="G3" s="242"/>
    </row>
    <row r="4" spans="1:8" s="251" customFormat="1" ht="15.75">
      <c r="A4" s="248" t="s">
        <v>2315</v>
      </c>
      <c r="B4" s="249"/>
      <c r="C4" s="249"/>
      <c r="D4" s="249"/>
      <c r="E4" s="249"/>
      <c r="F4" s="249"/>
      <c r="G4" s="250"/>
    </row>
    <row r="5" spans="1:8" s="257" customFormat="1" ht="13.5" customHeight="1">
      <c r="A5" s="298" t="s">
        <v>2316</v>
      </c>
      <c r="B5" s="253" t="s">
        <v>2317</v>
      </c>
      <c r="C5" s="254">
        <f ca="1">C6+C7+C8</f>
        <v>0</v>
      </c>
      <c r="D5" s="254" t="s">
        <v>2318</v>
      </c>
      <c r="E5" s="255" t="s">
        <v>2319</v>
      </c>
      <c r="F5" s="255" t="s">
        <v>2320</v>
      </c>
      <c r="G5" s="256"/>
    </row>
    <row r="6" spans="1:8" s="257" customFormat="1" ht="13.5" customHeight="1">
      <c r="A6" s="951" t="s">
        <v>2321</v>
      </c>
      <c r="B6" s="258" t="s">
        <v>2322</v>
      </c>
      <c r="C6" s="259"/>
      <c r="D6" s="260"/>
      <c r="E6" s="261"/>
      <c r="F6" s="261"/>
      <c r="G6" s="262"/>
    </row>
    <row r="7" spans="1:8" s="257" customFormat="1" ht="13.5" customHeight="1">
      <c r="A7" s="951" t="s">
        <v>2323</v>
      </c>
      <c r="B7" s="258" t="s">
        <v>2324</v>
      </c>
      <c r="C7" s="263">
        <f>ROUND(C6*F7,0)</f>
        <v>0</v>
      </c>
      <c r="D7" s="263"/>
      <c r="E7" s="261"/>
      <c r="F7" s="264">
        <f>'数据-取费表'!B48+'数据-取费表'!B49</f>
        <v>3.0499999999999999E-2</v>
      </c>
      <c r="G7" s="262"/>
    </row>
    <row r="8" spans="1:8" s="266" customFormat="1">
      <c r="A8" s="951" t="s">
        <v>2325</v>
      </c>
      <c r="B8" s="258" t="s">
        <v>2326</v>
      </c>
      <c r="C8" s="263">
        <f ca="1">IF(G8="已包含在土地购买价格中",0,C9+C10)</f>
        <v>0</v>
      </c>
      <c r="D8" s="265"/>
      <c r="E8" s="263"/>
      <c r="F8" s="264"/>
      <c r="G8" s="2549"/>
    </row>
    <row r="9" spans="1:8" s="257" customFormat="1" ht="13.5" customHeight="1">
      <c r="A9" s="952" t="s">
        <v>800</v>
      </c>
      <c r="B9" s="267" t="s">
        <v>2327</v>
      </c>
      <c r="C9" s="268">
        <f ca="1">ROUND(D9*E9,0)</f>
        <v>0</v>
      </c>
      <c r="D9" s="1034">
        <f ca="1">IF(B1="",'数据-汇总表'!E5,IF(INDIRECT("'数据-取费表'!c"&amp;$G$1)="住宅",INDIRECT("'数据-取费表'!k"&amp;$G$1),0))</f>
        <v>86551.15</v>
      </c>
      <c r="E9" s="268">
        <f>'数据-取费表'!B27</f>
        <v>0</v>
      </c>
      <c r="F9" s="264"/>
      <c r="G9" s="269"/>
    </row>
    <row r="10" spans="1:8" s="257" customFormat="1" ht="13.5" customHeight="1">
      <c r="A10" s="952" t="s">
        <v>801</v>
      </c>
      <c r="B10" s="267" t="s">
        <v>2329</v>
      </c>
      <c r="C10" s="268">
        <f ca="1">ROUND(D10*E10,0)</f>
        <v>0</v>
      </c>
      <c r="D10" s="1034">
        <f ca="1">IF(B1="",'数据-汇总表'!E6,IF(INDIRECT("'数据-取费表'!c"&amp;$G$1)="住宅",INDIRECT("'数据-取费表'!s"&amp;$G$1),INDIRECT("'数据-取费表'!k"&amp;$G$1)+INDIRECT("'数据-取费表'!s"&amp;$G$1)))</f>
        <v>132610.23000000001</v>
      </c>
      <c r="E10" s="268">
        <f>'数据-取费表'!B28</f>
        <v>0</v>
      </c>
      <c r="F10" s="264"/>
      <c r="G10" s="269"/>
    </row>
    <row r="11" spans="1:8" s="257" customFormat="1" ht="13.5" hidden="1" customHeight="1">
      <c r="A11" s="270" t="s">
        <v>7</v>
      </c>
      <c r="B11" s="258" t="s">
        <v>2330</v>
      </c>
      <c r="C11" s="254"/>
      <c r="D11" s="1036"/>
      <c r="E11" s="261"/>
      <c r="F11" s="261"/>
      <c r="G11" s="262"/>
    </row>
    <row r="12" spans="1:8" s="257" customFormat="1" ht="13.5" hidden="1" customHeight="1">
      <c r="A12" s="270" t="s">
        <v>8</v>
      </c>
      <c r="B12" s="258" t="s">
        <v>2413</v>
      </c>
      <c r="C12" s="254">
        <v>0</v>
      </c>
      <c r="D12" s="1036"/>
      <c r="E12" s="271"/>
      <c r="F12" s="264">
        <v>3.0499999999999999E-2</v>
      </c>
      <c r="G12" s="262"/>
    </row>
    <row r="13" spans="1:8" s="257" customFormat="1" ht="13.5" hidden="1" customHeight="1">
      <c r="A13" s="270" t="s">
        <v>9</v>
      </c>
      <c r="B13" s="258" t="s">
        <v>2414</v>
      </c>
      <c r="C13" s="254"/>
      <c r="D13" s="1036"/>
      <c r="E13" s="261"/>
      <c r="F13" s="261"/>
      <c r="G13" s="262"/>
    </row>
    <row r="14" spans="1:8" s="257" customFormat="1" ht="13.5" hidden="1" customHeight="1">
      <c r="A14" s="270" t="s">
        <v>10</v>
      </c>
      <c r="B14" s="258" t="s">
        <v>2326</v>
      </c>
      <c r="C14" s="254"/>
      <c r="D14" s="1036"/>
      <c r="E14" s="261"/>
      <c r="F14" s="261"/>
      <c r="G14" s="262" t="s">
        <v>2415</v>
      </c>
    </row>
    <row r="15" spans="1:8" s="257" customFormat="1" ht="13.5" hidden="1" customHeight="1">
      <c r="A15" s="270" t="s">
        <v>11</v>
      </c>
      <c r="B15" s="258" t="s">
        <v>2416</v>
      </c>
      <c r="C15" s="263"/>
      <c r="D15" s="1036"/>
      <c r="E15" s="261"/>
      <c r="F15" s="261"/>
      <c r="G15" s="262" t="s">
        <v>2417</v>
      </c>
    </row>
    <row r="16" spans="1:8" s="257" customFormat="1" ht="13.5" hidden="1" customHeight="1">
      <c r="A16" s="270" t="s">
        <v>12</v>
      </c>
      <c r="B16" s="258" t="s">
        <v>2326</v>
      </c>
      <c r="C16" s="263"/>
      <c r="D16" s="1036"/>
      <c r="E16" s="261"/>
      <c r="F16" s="261"/>
      <c r="G16" s="262"/>
    </row>
    <row r="17" spans="1:7" s="257" customFormat="1" ht="13.5" hidden="1" customHeight="1">
      <c r="A17" s="270" t="s">
        <v>13</v>
      </c>
      <c r="B17" s="258" t="s">
        <v>2418</v>
      </c>
      <c r="C17" s="272"/>
      <c r="D17" s="1037"/>
      <c r="E17" s="272"/>
      <c r="F17" s="272"/>
      <c r="G17" s="262" t="s">
        <v>2417</v>
      </c>
    </row>
    <row r="18" spans="1:7" s="257" customFormat="1" ht="13.5" hidden="1" customHeight="1">
      <c r="A18" s="270" t="s">
        <v>14</v>
      </c>
      <c r="B18" s="258" t="s">
        <v>2419</v>
      </c>
      <c r="C18" s="263">
        <v>0</v>
      </c>
      <c r="D18" s="1036"/>
      <c r="E18" s="261"/>
      <c r="F18" s="264">
        <v>3.0499999999999999E-2</v>
      </c>
      <c r="G18" s="262" t="s">
        <v>2420</v>
      </c>
    </row>
    <row r="19" spans="1:7" s="266" customFormat="1" ht="13.5" customHeight="1">
      <c r="A19" s="298" t="s">
        <v>2421</v>
      </c>
      <c r="B19" s="253" t="s">
        <v>2422</v>
      </c>
      <c r="C19" s="254">
        <f ca="1">IF(G19="已包含在土地取得成本中","0",ROUND(D19*E19,0))</f>
        <v>21916138</v>
      </c>
      <c r="D19" s="1038">
        <f ca="1">D9+D10</f>
        <v>219161.38</v>
      </c>
      <c r="E19" s="254">
        <f>'数据-取费表'!B31</f>
        <v>100</v>
      </c>
      <c r="F19" s="274"/>
      <c r="G19" s="2549"/>
    </row>
    <row r="20" spans="1:7" s="257" customFormat="1" ht="13.5" customHeight="1">
      <c r="A20" s="298" t="s">
        <v>2423</v>
      </c>
      <c r="B20" s="253" t="s">
        <v>2424</v>
      </c>
      <c r="C20" s="275">
        <f ca="1">ROUND((C5+C19)*F20,0)</f>
        <v>438323</v>
      </c>
      <c r="D20" s="275"/>
      <c r="E20" s="275"/>
      <c r="F20" s="276">
        <f>'数据-取费表'!B37</f>
        <v>0.02</v>
      </c>
      <c r="G20" s="277" t="s">
        <v>2425</v>
      </c>
    </row>
    <row r="21" spans="1:7" s="257" customFormat="1" ht="13.5" customHeight="1">
      <c r="A21" s="298" t="s">
        <v>2426</v>
      </c>
      <c r="B21" s="253" t="s">
        <v>2427</v>
      </c>
      <c r="C21" s="278">
        <f>F21</f>
        <v>0.02</v>
      </c>
      <c r="D21" s="279" t="s">
        <v>2428</v>
      </c>
      <c r="E21" s="275"/>
      <c r="F21" s="276">
        <f>'数据-取费表'!B38</f>
        <v>0.02</v>
      </c>
      <c r="G21" s="277" t="s">
        <v>2429</v>
      </c>
    </row>
    <row r="22" spans="1:7" s="257" customFormat="1" ht="13.5" customHeight="1">
      <c r="A22" s="298" t="s">
        <v>2430</v>
      </c>
      <c r="B22" s="253" t="s">
        <v>2431</v>
      </c>
      <c r="C22" s="1382">
        <f ca="1">ROUND(SUM(C23:C25),0)</f>
        <v>2152301</v>
      </c>
      <c r="D22" s="278">
        <f ca="1">C26</f>
        <v>1E-3</v>
      </c>
      <c r="E22" s="279" t="s">
        <v>2428</v>
      </c>
      <c r="F22" s="280">
        <f ca="1">'数据-取费表'!B40</f>
        <v>4.7500000000000001E-2</v>
      </c>
      <c r="G22" s="277" t="str">
        <f>IF('数据-取费表'!B22&lt;=1,"单利计息","复利计息")</f>
        <v>复利计息</v>
      </c>
    </row>
    <row r="23" spans="1:7" s="257" customFormat="1" ht="13.5" customHeight="1">
      <c r="A23" s="953" t="s">
        <v>2321</v>
      </c>
      <c r="B23" s="258" t="s">
        <v>2432</v>
      </c>
      <c r="C23" s="1383">
        <f ca="1">ROUND(IF('数据-取费表'!B22&lt;=1,C5*F22*'数据-取费表'!B22,C5*(POWER((1+F22),'数据-取费表'!B22)-1)),0)</f>
        <v>0</v>
      </c>
      <c r="D23" s="281"/>
      <c r="E23" s="281"/>
      <c r="F23" s="282"/>
      <c r="G23" s="283" t="s">
        <v>2433</v>
      </c>
    </row>
    <row r="24" spans="1:7" s="257" customFormat="1" ht="13.5" customHeight="1">
      <c r="A24" s="953" t="s">
        <v>2323</v>
      </c>
      <c r="B24" s="258" t="s">
        <v>2434</v>
      </c>
      <c r="C24" s="1383">
        <f ca="1">ROUND(IF('数据-取费表'!B22&lt;=1,C19*F22*('数据-取费表'!B19/2+'数据-取费表'!B20),C19*(POWER((1+F22),('数据-取费表'!B19/2+'数据-取费表'!B20))-1)),0)</f>
        <v>2131481</v>
      </c>
      <c r="D24" s="281"/>
      <c r="E24" s="281"/>
      <c r="F24" s="282"/>
      <c r="G24" s="283" t="s">
        <v>2435</v>
      </c>
    </row>
    <row r="25" spans="1:7" s="257" customFormat="1" ht="24">
      <c r="A25" s="953" t="s">
        <v>2325</v>
      </c>
      <c r="B25" s="258" t="s">
        <v>2436</v>
      </c>
      <c r="C25" s="1383">
        <f ca="1">ROUND(IF('数据-取费表'!B22&lt;=1,C20*F22*'数据-取费表'!B22/2,C20*(POWER((1+F22),'数据-取费表'!B22/2)-1)),0)</f>
        <v>20820</v>
      </c>
      <c r="D25" s="281"/>
      <c r="E25" s="284"/>
      <c r="F25" s="282"/>
      <c r="G25" s="285" t="s">
        <v>2437</v>
      </c>
    </row>
    <row r="26" spans="1:7" s="257" customFormat="1">
      <c r="A26" s="953" t="s">
        <v>795</v>
      </c>
      <c r="B26" s="258" t="s">
        <v>2360</v>
      </c>
      <c r="C26" s="281">
        <f ca="1">ROUND(IF('数据-取费表'!B22&lt;=1,F21*F22*'数据-取费表'!B22/2,F21*(POWER((1+F22),'数据-取费表'!B22/2)-1)),4)</f>
        <v>1E-3</v>
      </c>
      <c r="D26" s="281"/>
      <c r="E26" s="284"/>
      <c r="F26" s="282"/>
      <c r="G26" s="286"/>
    </row>
    <row r="27" spans="1:7" s="257" customFormat="1" ht="24.75">
      <c r="A27" s="298" t="s">
        <v>2361</v>
      </c>
      <c r="B27" s="287" t="s">
        <v>2362</v>
      </c>
      <c r="C27" s="288">
        <f ca="1">C28</f>
        <v>1788357</v>
      </c>
      <c r="D27" s="278">
        <f ca="1">C29</f>
        <v>1.6000000000000001E-3</v>
      </c>
      <c r="E27" s="279" t="s">
        <v>2363</v>
      </c>
      <c r="F27" s="289">
        <f ca="1">IF(B1="",'数据-取费表'!Q16,INDIRECT("'数据-取费表'!q"&amp;$G$1))</f>
        <v>0.08</v>
      </c>
      <c r="G27" s="290" t="s">
        <v>2364</v>
      </c>
    </row>
    <row r="28" spans="1:7" s="257" customFormat="1" ht="13.5" customHeight="1">
      <c r="A28" s="953" t="s">
        <v>791</v>
      </c>
      <c r="B28" s="291" t="s">
        <v>2365</v>
      </c>
      <c r="C28" s="292">
        <f ca="1">ROUND((C5+C19+C20)*F27,0)</f>
        <v>1788357</v>
      </c>
      <c r="D28" s="278"/>
      <c r="E28" s="279"/>
      <c r="F28" s="289"/>
      <c r="G28" s="290"/>
    </row>
    <row r="29" spans="1:7" s="257" customFormat="1" ht="13.5" customHeight="1">
      <c r="A29" s="953" t="s">
        <v>792</v>
      </c>
      <c r="B29" s="291" t="s">
        <v>2366</v>
      </c>
      <c r="C29" s="281">
        <f ca="1">ROUND(C21*F27,4)</f>
        <v>1.6000000000000001E-3</v>
      </c>
      <c r="D29" s="278"/>
      <c r="E29" s="279"/>
      <c r="F29" s="289"/>
      <c r="G29" s="290"/>
    </row>
    <row r="30" spans="1:7" s="257" customFormat="1" ht="13.5" customHeight="1">
      <c r="A30" s="298" t="s">
        <v>2367</v>
      </c>
      <c r="B30" s="253" t="s">
        <v>2368</v>
      </c>
      <c r="C30" s="278">
        <f>ROUND(F30/(1+'数据-取费表'!C42),4)</f>
        <v>5.2400000000000002E-2</v>
      </c>
      <c r="D30" s="279" t="s">
        <v>2363</v>
      </c>
      <c r="E30" s="284"/>
      <c r="F30" s="280">
        <f>'数据-取费表'!B41</f>
        <v>5.5000000000000007E-2</v>
      </c>
      <c r="G30" s="277" t="s">
        <v>2369</v>
      </c>
    </row>
    <row r="31" spans="1:7" ht="16.5" customHeight="1">
      <c r="A31" s="252">
        <v>1</v>
      </c>
      <c r="B31" s="253" t="s">
        <v>2370</v>
      </c>
      <c r="C31" s="254">
        <f ca="1">ROUND((C5+C19+C20+C22+C27)/(1-C21-D22-D27-C30),0)</f>
        <v>28427156</v>
      </c>
      <c r="D31" s="273"/>
      <c r="E31" s="254"/>
      <c r="F31" s="293"/>
      <c r="G31" s="277" t="s">
        <v>2371</v>
      </c>
    </row>
    <row r="32" spans="1:7" s="251" customFormat="1" ht="15.75">
      <c r="A32" s="295" t="s">
        <v>2438</v>
      </c>
      <c r="B32" s="296"/>
      <c r="C32" s="296"/>
      <c r="D32" s="296"/>
      <c r="E32" s="296"/>
      <c r="F32" s="296"/>
      <c r="G32" s="297"/>
    </row>
    <row r="33" spans="1:7" s="257" customFormat="1" ht="13.5" customHeight="1">
      <c r="A33" s="298" t="s">
        <v>782</v>
      </c>
      <c r="B33" s="253" t="s">
        <v>2439</v>
      </c>
      <c r="C33" s="299">
        <f ca="1">SUM(C34:C38)</f>
        <v>744575878</v>
      </c>
      <c r="D33" s="275"/>
      <c r="E33" s="255"/>
      <c r="F33" s="284"/>
      <c r="G33" s="277"/>
    </row>
    <row r="34" spans="1:7" s="301" customFormat="1" ht="13.5" customHeight="1">
      <c r="A34" s="953" t="s">
        <v>791</v>
      </c>
      <c r="B34" s="258" t="s">
        <v>2374</v>
      </c>
      <c r="C34" s="263">
        <f ca="1">ROUND(IF(B1="",SUMPRODUCT('数据-取费表'!K6:K14,'数据-取费表'!L6:L14),INDIRECT("'数据-取费表'!l"&amp;$G$1)*INDIRECT("'数据-取费表'!k"&amp;$G$1)+'数据-取费表'!L14*INDIRECT("'数据-取费表'!S"&amp;$G$1)),0)</f>
        <v>660629152</v>
      </c>
      <c r="D34" s="260"/>
      <c r="E34" s="263"/>
      <c r="F34" s="300"/>
      <c r="G34" s="262"/>
    </row>
    <row r="35" spans="1:7" ht="13.5" customHeight="1">
      <c r="A35" s="953" t="s">
        <v>796</v>
      </c>
      <c r="B35" s="258" t="s">
        <v>2376</v>
      </c>
      <c r="C35" s="263">
        <f ca="1">ROUND(C34*F35,0)</f>
        <v>19818875</v>
      </c>
      <c r="D35" s="263"/>
      <c r="E35" s="263"/>
      <c r="F35" s="302">
        <f>'数据-取费表'!B33</f>
        <v>0.03</v>
      </c>
      <c r="G35" s="262" t="s">
        <v>2377</v>
      </c>
    </row>
    <row r="36" spans="1:7" ht="24">
      <c r="A36" s="953" t="s">
        <v>797</v>
      </c>
      <c r="B36" s="258" t="s">
        <v>2378</v>
      </c>
      <c r="C36" s="263">
        <f ca="1">ROUND(IF(B1="",SUM('数据-取费表'!AP6:AP13)*F36,IF(INDIRECT("'数据-取费表'!c"&amp;$G$1)="住宅",INDIRECT("'数据-取费表'!k"&amp;$G$1)*INDIRECT("'数据-取费表'!l"&amp;$G$1)*F36,0)),0)</f>
        <v>10386138</v>
      </c>
      <c r="D36" s="263"/>
      <c r="E36" s="263"/>
      <c r="F36" s="302">
        <f>'数据-取费表'!B34</f>
        <v>0.03</v>
      </c>
      <c r="G36" s="303" t="s">
        <v>2379</v>
      </c>
    </row>
    <row r="37" spans="1:7" s="301" customFormat="1" ht="13.5" customHeight="1">
      <c r="A37" s="953" t="s">
        <v>798</v>
      </c>
      <c r="B37" s="258" t="s">
        <v>2380</v>
      </c>
      <c r="C37" s="292">
        <f ca="1">ROUND(E37*D37,0)</f>
        <v>43832276</v>
      </c>
      <c r="D37" s="260">
        <f ca="1">D19</f>
        <v>219161.38</v>
      </c>
      <c r="E37" s="292">
        <f>'数据-取费表'!B35</f>
        <v>200</v>
      </c>
      <c r="F37" s="302"/>
      <c r="G37" s="304"/>
    </row>
    <row r="38" spans="1:7" ht="13.5" customHeight="1">
      <c r="A38" s="953" t="s">
        <v>799</v>
      </c>
      <c r="B38" s="258" t="s">
        <v>2382</v>
      </c>
      <c r="C38" s="263">
        <f ca="1">ROUND(C34*F38,0)</f>
        <v>9909437</v>
      </c>
      <c r="D38" s="263"/>
      <c r="E38" s="263"/>
      <c r="F38" s="302">
        <f>'数据-取费表'!B36</f>
        <v>1.4999999999999999E-2</v>
      </c>
      <c r="G38" s="262" t="s">
        <v>2377</v>
      </c>
    </row>
    <row r="39" spans="1:7" s="257" customFormat="1" ht="13.5" customHeight="1">
      <c r="A39" s="298" t="s">
        <v>2383</v>
      </c>
      <c r="B39" s="253" t="s">
        <v>2384</v>
      </c>
      <c r="C39" s="275">
        <f ca="1">ROUND(C33*F20,0)</f>
        <v>14891518</v>
      </c>
      <c r="D39" s="275"/>
      <c r="E39" s="275"/>
      <c r="F39" s="276"/>
      <c r="G39" s="277" t="s">
        <v>2385</v>
      </c>
    </row>
    <row r="40" spans="1:7" s="257" customFormat="1" ht="13.5" customHeight="1">
      <c r="A40" s="298" t="s">
        <v>2386</v>
      </c>
      <c r="B40" s="253" t="s">
        <v>2387</v>
      </c>
      <c r="C40" s="1729">
        <f>F21</f>
        <v>0.02</v>
      </c>
      <c r="D40" s="279" t="s">
        <v>2388</v>
      </c>
      <c r="E40" s="275"/>
      <c r="F40" s="276"/>
      <c r="G40" s="277" t="s">
        <v>2389</v>
      </c>
    </row>
    <row r="41" spans="1:7" s="257" customFormat="1" ht="13.5" customHeight="1">
      <c r="A41" s="298" t="s">
        <v>2390</v>
      </c>
      <c r="B41" s="253" t="s">
        <v>2391</v>
      </c>
      <c r="C41" s="275">
        <f ca="1">ROUND(SUM(C42:C43),0)</f>
        <v>36074701</v>
      </c>
      <c r="D41" s="278">
        <f ca="1">C44</f>
        <v>1E-3</v>
      </c>
      <c r="E41" s="279" t="s">
        <v>2388</v>
      </c>
      <c r="F41" s="280"/>
      <c r="G41" s="277" t="str">
        <f>IF('数据-取费表'!B22&lt;=1,"单利计息","复利计息")</f>
        <v>复利计息</v>
      </c>
    </row>
    <row r="42" spans="1:7" ht="13.5" customHeight="1">
      <c r="A42" s="953" t="s">
        <v>791</v>
      </c>
      <c r="B42" s="258" t="s">
        <v>2392</v>
      </c>
      <c r="C42" s="281">
        <f ca="1">ROUND(IF('数据-取费表'!B22&lt;=1,C33*F22*'数据-取费表'!B20/2,C33*(POWER((1+F22),'数据-取费表'!B20/2)-1)),0)</f>
        <v>35367354</v>
      </c>
      <c r="D42" s="281"/>
      <c r="E42" s="281"/>
      <c r="F42" s="282"/>
      <c r="G42" s="3324" t="s">
        <v>2440</v>
      </c>
    </row>
    <row r="43" spans="1:7" ht="13.5" customHeight="1">
      <c r="A43" s="953" t="s">
        <v>792</v>
      </c>
      <c r="B43" s="258" t="s">
        <v>2394</v>
      </c>
      <c r="C43" s="281">
        <f ca="1">ROUND(IF('数据-取费表'!B22&lt;=1,C39*F22*'数据-取费表'!B20/2,C39*(POWER((1+F22),'数据-取费表'!B20/2)-1)),0)</f>
        <v>707347</v>
      </c>
      <c r="D43" s="281"/>
      <c r="E43" s="281"/>
      <c r="F43" s="282"/>
      <c r="G43" s="3325"/>
    </row>
    <row r="44" spans="1:7" ht="13.5" customHeight="1">
      <c r="A44" s="953" t="s">
        <v>793</v>
      </c>
      <c r="B44" s="258" t="s">
        <v>2395</v>
      </c>
      <c r="C44" s="281">
        <f ca="1">ROUND(IF('数据-取费表'!B22&lt;=1,C40*F22*'数据-取费表'!B20/2,C40*(POWER((1+F22),'数据-取费表'!B20/2)-1)),4)</f>
        <v>1E-3</v>
      </c>
      <c r="D44" s="281"/>
      <c r="E44" s="281"/>
      <c r="F44" s="282"/>
      <c r="G44" s="3326"/>
    </row>
    <row r="45" spans="1:7" s="257" customFormat="1" ht="13.5" customHeight="1">
      <c r="A45" s="298" t="s">
        <v>2396</v>
      </c>
      <c r="B45" s="287" t="s">
        <v>2362</v>
      </c>
      <c r="C45" s="288">
        <f ca="1">C46</f>
        <v>60757392</v>
      </c>
      <c r="D45" s="278">
        <f ca="1">C47</f>
        <v>1.6000000000000001E-3</v>
      </c>
      <c r="E45" s="279" t="s">
        <v>2388</v>
      </c>
      <c r="F45" s="289"/>
      <c r="G45" s="290" t="s">
        <v>2397</v>
      </c>
    </row>
    <row r="46" spans="1:7" s="257" customFormat="1" ht="13.5" customHeight="1">
      <c r="A46" s="953" t="s">
        <v>791</v>
      </c>
      <c r="B46" s="291" t="s">
        <v>2398</v>
      </c>
      <c r="C46" s="292">
        <f ca="1">ROUND((C33+C39)*F27,0)</f>
        <v>60757392</v>
      </c>
      <c r="D46" s="306"/>
      <c r="E46" s="279"/>
      <c r="F46" s="289"/>
      <c r="G46" s="290"/>
    </row>
    <row r="47" spans="1:7" s="257" customFormat="1" ht="13.5" customHeight="1">
      <c r="A47" s="953" t="s">
        <v>792</v>
      </c>
      <c r="B47" s="291" t="s">
        <v>2399</v>
      </c>
      <c r="C47" s="281">
        <f ca="1">ROUND(C40*F27,4)</f>
        <v>1.6000000000000001E-3</v>
      </c>
      <c r="D47" s="306"/>
      <c r="E47" s="279"/>
      <c r="F47" s="289"/>
      <c r="G47" s="290"/>
    </row>
    <row r="48" spans="1:7" s="257" customFormat="1" ht="13.5" customHeight="1">
      <c r="A48" s="298" t="s">
        <v>2361</v>
      </c>
      <c r="B48" s="253" t="s">
        <v>2400</v>
      </c>
      <c r="C48" s="305">
        <f>ROUND(F30/(1+'数据-取费表'!C42),4)</f>
        <v>5.2400000000000002E-2</v>
      </c>
      <c r="D48" s="279" t="s">
        <v>2388</v>
      </c>
      <c r="E48" s="275"/>
      <c r="F48" s="280"/>
      <c r="G48" s="277" t="s">
        <v>2401</v>
      </c>
    </row>
    <row r="49" spans="1:7" ht="16.5" customHeight="1">
      <c r="A49" s="298" t="s">
        <v>2367</v>
      </c>
      <c r="B49" s="253" t="s">
        <v>2441</v>
      </c>
      <c r="C49" s="275">
        <f ca="1">ROUND((C33+C39+C41+C45)/(1-C40-D41-D45-C48),0)</f>
        <v>925729177</v>
      </c>
      <c r="D49" s="275"/>
      <c r="E49" s="275"/>
      <c r="F49" s="307"/>
      <c r="G49" s="277" t="s">
        <v>2403</v>
      </c>
    </row>
    <row r="50" spans="1:7" s="301" customFormat="1">
      <c r="A50" s="298" t="s">
        <v>2404</v>
      </c>
      <c r="B50" s="253" t="s">
        <v>2405</v>
      </c>
      <c r="C50" s="275"/>
      <c r="D50" s="275"/>
      <c r="E50" s="275"/>
      <c r="F50" s="307">
        <f>IF('数据-取费表'!B24=0,'数据-取费表'!N16,1)</f>
        <v>1</v>
      </c>
      <c r="G50" s="290"/>
    </row>
    <row r="51" spans="1:7" ht="16.5" customHeight="1">
      <c r="A51" s="298" t="s">
        <v>2407</v>
      </c>
      <c r="B51" s="253" t="s">
        <v>2442</v>
      </c>
      <c r="C51" s="275">
        <f ca="1">ROUND(C49*F50,0)</f>
        <v>925729177</v>
      </c>
      <c r="D51" s="275"/>
      <c r="E51" s="275"/>
      <c r="F51" s="307"/>
      <c r="G51" s="277" t="s">
        <v>2409</v>
      </c>
    </row>
    <row r="52" spans="1:7" s="251" customFormat="1" ht="16.5" thickBot="1">
      <c r="A52" s="308" t="s">
        <v>2410</v>
      </c>
      <c r="B52" s="309"/>
      <c r="C52" s="310">
        <f ca="1">C31+C51</f>
        <v>954156333</v>
      </c>
      <c r="D52" s="309"/>
      <c r="E52" s="309"/>
      <c r="F52" s="309"/>
      <c r="G52" s="311"/>
    </row>
    <row r="55" spans="1:7" ht="15">
      <c r="B55" s="313" t="s">
        <v>2411</v>
      </c>
      <c r="C55" s="314"/>
    </row>
    <row r="56" spans="1:7">
      <c r="B56" s="316" t="s">
        <v>1509</v>
      </c>
      <c r="C56" s="318">
        <f ca="1">1-C57</f>
        <v>3.0000000000000027E-2</v>
      </c>
    </row>
    <row r="57" spans="1:7">
      <c r="B57" s="316" t="s">
        <v>1510</v>
      </c>
      <c r="C57" s="317">
        <f ca="1">ROUND(C51/C52,3)</f>
        <v>0.97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D52" sqref="D52"/>
    </sheetView>
  </sheetViews>
  <sheetFormatPr defaultRowHeight="14.25"/>
  <cols>
    <col min="1" max="1" width="14.375" style="402" customWidth="1"/>
    <col min="2" max="2" width="15.75" style="402" customWidth="1"/>
    <col min="3" max="3" width="16.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2725</v>
      </c>
      <c r="B1" s="394"/>
      <c r="C1" s="395"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2311</v>
      </c>
      <c r="B2" s="670">
        <f>F66</f>
        <v>390490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2313</v>
      </c>
      <c r="B3" s="608">
        <f>ROUND(IF(D3="",B2*10000/'数据-汇总表'!E3,B2*10000/D3),0)</f>
        <v>17817</v>
      </c>
      <c r="C3" s="246" t="s">
        <v>2727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2" t="s">
        <v>2629</v>
      </c>
      <c r="AC4" s="3341" t="s">
        <v>2630</v>
      </c>
    </row>
    <row r="5" spans="1:30" ht="15">
      <c r="A5" s="403"/>
      <c r="B5" s="404"/>
      <c r="C5" s="3361" t="s">
        <v>3283</v>
      </c>
      <c r="D5" s="3362"/>
      <c r="E5" s="3368" t="str">
        <f>土地案例!A2</f>
        <v>北京市顺义区后沙峪镇马头庄村SY00-0019-6007地块R2二类居住用地</v>
      </c>
      <c r="F5" s="3369"/>
      <c r="G5" s="3361" t="str">
        <f>土地案例!A3</f>
        <v>北京市顺义区后沙峪镇21-18-001e地块R2二类居住用地、21-18-002地块A33基础教育用地</v>
      </c>
      <c r="H5" s="3362"/>
      <c r="I5" s="3361" t="str">
        <f>土地案例!A5</f>
        <v>北京市顺义区后沙峪镇马头庄村SY00-0019-6005地块B1商业用地、SY00-0019-6006地块R2二类居住用地</v>
      </c>
      <c r="J5" s="3362"/>
      <c r="K5" s="609"/>
      <c r="L5" s="1132"/>
      <c r="M5" s="1133"/>
      <c r="N5" s="1133"/>
      <c r="O5" s="1133"/>
      <c r="P5" s="3349"/>
      <c r="Q5" s="3350"/>
      <c r="R5" s="3355"/>
      <c r="S5" s="3356"/>
      <c r="T5" s="3355"/>
      <c r="U5" s="3356"/>
      <c r="V5" s="3340"/>
      <c r="W5" s="3340"/>
      <c r="X5" s="1814"/>
      <c r="Y5" s="3355"/>
      <c r="Z5" s="3356"/>
      <c r="AA5" s="3342"/>
      <c r="AB5" s="3342"/>
      <c r="AC5" s="3342"/>
    </row>
    <row r="6" spans="1:30" ht="15.75" thickBot="1">
      <c r="A6" s="405"/>
      <c r="B6" s="406"/>
      <c r="C6" s="3359" t="s">
        <v>2777</v>
      </c>
      <c r="D6" s="3360"/>
      <c r="E6" s="3366" t="s">
        <v>2777</v>
      </c>
      <c r="F6" s="3367"/>
      <c r="G6" s="3359" t="s">
        <v>2777</v>
      </c>
      <c r="H6" s="3360"/>
      <c r="I6" s="3359" t="s">
        <v>2777</v>
      </c>
      <c r="J6" s="3360"/>
      <c r="K6" s="609" t="s">
        <v>2528</v>
      </c>
      <c r="L6" s="1132"/>
      <c r="M6" s="1133"/>
      <c r="N6" s="1133"/>
      <c r="O6" s="1133"/>
      <c r="P6" s="3351"/>
      <c r="Q6" s="3352"/>
      <c r="R6" s="3355"/>
      <c r="S6" s="3356"/>
      <c r="T6" s="3357"/>
      <c r="U6" s="3358"/>
      <c r="V6" s="3340"/>
      <c r="W6" s="3340"/>
      <c r="X6" s="1814"/>
      <c r="Y6" s="3357"/>
      <c r="Z6" s="3358"/>
      <c r="AA6" s="3343"/>
      <c r="AB6" s="3343"/>
      <c r="AC6" s="3343"/>
    </row>
    <row r="7" spans="1:30" s="116" customFormat="1" ht="15.75" thickBot="1">
      <c r="A7" s="407" t="s">
        <v>2529</v>
      </c>
      <c r="B7" s="408"/>
      <c r="C7" s="409">
        <f>'数据-取费表'!B2</f>
        <v>43444</v>
      </c>
      <c r="D7" s="410">
        <v>100</v>
      </c>
      <c r="E7" s="411" t="str">
        <f>土地案例!H2</f>
        <v>2018-07-04</v>
      </c>
      <c r="F7" s="412">
        <f>SUMIF(70:70,YEAR(E7)&amp;"-"&amp;INT((MONTH(E7)+2)/3),71:71)</f>
        <v>99.5</v>
      </c>
      <c r="G7" s="2695" t="str">
        <f>土地案例!H3</f>
        <v>2018-06-22</v>
      </c>
      <c r="H7" s="410">
        <f>SUMIF(70:70,YEAR(G7)&amp;"-"&amp;INT((MONTH(G7)+2)/3),71:71)</f>
        <v>99</v>
      </c>
      <c r="I7" s="2695" t="str">
        <f>土地案例!H5</f>
        <v>2017-10-30</v>
      </c>
      <c r="J7" s="410">
        <f>SUMIF(70:70,YEAR(I7)&amp;"-"&amp;INT((MONTH(I7)+2)/3),71:71)</f>
        <v>98</v>
      </c>
      <c r="K7" s="610"/>
      <c r="L7" s="1134"/>
      <c r="M7" s="1135"/>
      <c r="N7" s="1135"/>
      <c r="O7" s="1135"/>
      <c r="P7" s="3363" t="s">
        <v>2530</v>
      </c>
      <c r="Q7" s="3365"/>
      <c r="R7" s="769" t="s">
        <v>17</v>
      </c>
      <c r="S7" s="770">
        <f t="shared" ref="S7:S15" si="0">F7</f>
        <v>99.5</v>
      </c>
      <c r="T7" s="769" t="s">
        <v>17</v>
      </c>
      <c r="U7" s="770">
        <f t="shared" ref="U7:U15" si="1">H7</f>
        <v>99</v>
      </c>
      <c r="V7" s="769" t="s">
        <v>17</v>
      </c>
      <c r="W7" s="770">
        <f t="shared" ref="W7:W15" si="2">J7</f>
        <v>98</v>
      </c>
      <c r="X7" s="771"/>
      <c r="Y7" s="3363" t="s">
        <v>2530</v>
      </c>
      <c r="Z7" s="3364"/>
      <c r="AA7" s="772">
        <f>D7/F7</f>
        <v>1.0050251256281406</v>
      </c>
      <c r="AB7" s="772">
        <f>D7/H7</f>
        <v>1.0101010101010102</v>
      </c>
      <c r="AC7" s="772">
        <f>D7/J7</f>
        <v>1.0204081632653061</v>
      </c>
    </row>
    <row r="8" spans="1:30" s="116" customFormat="1" ht="15.75" thickBot="1">
      <c r="A8" s="407" t="s">
        <v>2531</v>
      </c>
      <c r="B8" s="408"/>
      <c r="C8" s="413" t="s">
        <v>2532</v>
      </c>
      <c r="D8" s="410">
        <v>100</v>
      </c>
      <c r="E8" s="413" t="s">
        <v>3286</v>
      </c>
      <c r="F8" s="412">
        <f>SUMIF(73:73,E8,74:74)-SUMIF(73:73,C8,74:74)+100</f>
        <v>100</v>
      </c>
      <c r="G8" s="413" t="s">
        <v>3286</v>
      </c>
      <c r="H8" s="410">
        <f>SUMIF(73:73,G8,74:74)-SUMIF(73:73,C8,74:74)+100</f>
        <v>100</v>
      </c>
      <c r="I8" s="413" t="s">
        <v>3286</v>
      </c>
      <c r="J8" s="410">
        <f>SUMIF(73:73,I8,74:74)-SUMIF(73:73,C8,74:74)+100</f>
        <v>100</v>
      </c>
      <c r="K8" s="610"/>
      <c r="L8" s="1134"/>
      <c r="M8" s="1135"/>
      <c r="N8" s="1135"/>
      <c r="O8" s="1135"/>
      <c r="P8" s="3363" t="s">
        <v>2533</v>
      </c>
      <c r="Q8" s="3364"/>
      <c r="R8" s="769" t="s">
        <v>17</v>
      </c>
      <c r="S8" s="770">
        <f t="shared" si="0"/>
        <v>100</v>
      </c>
      <c r="T8" s="769" t="s">
        <v>17</v>
      </c>
      <c r="U8" s="770">
        <f t="shared" si="1"/>
        <v>100</v>
      </c>
      <c r="V8" s="769" t="s">
        <v>17</v>
      </c>
      <c r="W8" s="770">
        <f t="shared" si="2"/>
        <v>100</v>
      </c>
      <c r="X8" s="771"/>
      <c r="Y8" s="3363" t="s">
        <v>2533</v>
      </c>
      <c r="Z8" s="3364"/>
      <c r="AA8" s="772">
        <f t="shared" ref="AA8:AA45" si="3">D8/F8</f>
        <v>1</v>
      </c>
      <c r="AB8" s="772">
        <f t="shared" ref="AB8:AB45" si="4">D8/H8</f>
        <v>1</v>
      </c>
      <c r="AC8" s="772">
        <f t="shared" ref="AC8:AC45" si="5">D8/J8</f>
        <v>1</v>
      </c>
    </row>
    <row r="9" spans="1:30" s="116" customFormat="1" ht="28.5">
      <c r="A9" s="414" t="s">
        <v>2534</v>
      </c>
      <c r="B9" s="70" t="s">
        <v>2535</v>
      </c>
      <c r="C9" s="2698" t="s">
        <v>3287</v>
      </c>
      <c r="D9" s="134">
        <v>100</v>
      </c>
      <c r="E9" s="2698" t="s">
        <v>3287</v>
      </c>
      <c r="F9" s="134">
        <f>SUMIF(75:75,E9,76:76)-SUMIF(75:75,C9,76:76)+100</f>
        <v>100</v>
      </c>
      <c r="G9" s="2698" t="s">
        <v>3287</v>
      </c>
      <c r="H9" s="134">
        <f>SUMIF(75:75,G9,76:76)-SUMIF(75:75,C9,76:76)+100</f>
        <v>100</v>
      </c>
      <c r="I9" s="2698" t="s">
        <v>3287</v>
      </c>
      <c r="J9" s="134">
        <f>SUMIF(75:75,I9,76:76)-SUMIF(75:75,C9,76:76)+100</f>
        <v>100</v>
      </c>
      <c r="K9" s="610"/>
      <c r="L9" s="1134"/>
      <c r="M9" s="1135"/>
      <c r="N9" s="1135"/>
      <c r="O9" s="1136"/>
      <c r="P9" s="3334"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772">
        <f t="shared" si="5"/>
        <v>1</v>
      </c>
    </row>
    <row r="10" spans="1:30" s="426" customFormat="1" ht="27">
      <c r="A10" s="420"/>
      <c r="B10" s="421" t="s">
        <v>2538</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334"/>
      <c r="Q10" s="1796" t="str">
        <f t="shared" si="6"/>
        <v>土地使用年限（年）</v>
      </c>
      <c r="R10" s="769" t="s">
        <v>17</v>
      </c>
      <c r="S10" s="770">
        <f t="shared" si="0"/>
        <v>101</v>
      </c>
      <c r="T10" s="769" t="s">
        <v>17</v>
      </c>
      <c r="U10" s="770">
        <f t="shared" si="1"/>
        <v>101</v>
      </c>
      <c r="V10" s="769" t="s">
        <v>17</v>
      </c>
      <c r="W10" s="770">
        <f t="shared" si="2"/>
        <v>101</v>
      </c>
      <c r="X10" s="771"/>
      <c r="Y10" s="3128"/>
      <c r="Z10" s="55" t="str">
        <f t="shared" si="7"/>
        <v>土地使用年限（年）</v>
      </c>
      <c r="AA10" s="772">
        <f t="shared" si="3"/>
        <v>0.99009900990099009</v>
      </c>
      <c r="AB10" s="772">
        <f t="shared" si="4"/>
        <v>0.99009900990099009</v>
      </c>
      <c r="AC10" s="772">
        <f t="shared" si="5"/>
        <v>0.99009900990099009</v>
      </c>
    </row>
    <row r="11" spans="1:30" ht="15">
      <c r="A11" s="427"/>
      <c r="B11" s="421" t="s">
        <v>2539</v>
      </c>
      <c r="C11" s="428">
        <f>'数据-汇总表'!I6</f>
        <v>1.07</v>
      </c>
      <c r="D11" s="135">
        <v>100</v>
      </c>
      <c r="E11" s="428">
        <f>土地案例!F2</f>
        <v>1.8</v>
      </c>
      <c r="F11" s="135">
        <f>LOOKUP(E11,80:80,81:81)-LOOKUP(C11,80:80,81:81)+100</f>
        <v>100</v>
      </c>
      <c r="G11" s="429">
        <v>1.004</v>
      </c>
      <c r="H11" s="135">
        <f>LOOKUP(G11,80:80,81:81)-LOOKUP(C11,80:80,81:81)+100</f>
        <v>100</v>
      </c>
      <c r="I11" s="428">
        <f>土地案例!F5</f>
        <v>1.83</v>
      </c>
      <c r="J11" s="135">
        <f>LOOKUP(I11,80:80,81:81)-LOOKUP(C11,80:80,81:81)+100</f>
        <v>100</v>
      </c>
      <c r="K11" s="672">
        <v>5</v>
      </c>
      <c r="L11" s="1140"/>
      <c r="M11" s="1133"/>
      <c r="N11" s="1133"/>
      <c r="O11" s="1141"/>
      <c r="P11" s="3334"/>
      <c r="Q11" s="1796" t="str">
        <f t="shared" si="6"/>
        <v>容积率</v>
      </c>
      <c r="R11" s="769" t="s">
        <v>17</v>
      </c>
      <c r="S11" s="770">
        <f t="shared" si="0"/>
        <v>100</v>
      </c>
      <c r="T11" s="769" t="s">
        <v>17</v>
      </c>
      <c r="U11" s="770">
        <f t="shared" si="1"/>
        <v>100</v>
      </c>
      <c r="V11" s="769" t="s">
        <v>17</v>
      </c>
      <c r="W11" s="770">
        <f t="shared" si="2"/>
        <v>100</v>
      </c>
      <c r="X11" s="771"/>
      <c r="Y11" s="3128"/>
      <c r="Z11" s="55" t="str">
        <f t="shared" si="7"/>
        <v>容积率</v>
      </c>
      <c r="AA11" s="772">
        <f t="shared" si="3"/>
        <v>1</v>
      </c>
      <c r="AB11" s="772">
        <f t="shared" si="4"/>
        <v>1</v>
      </c>
      <c r="AC11" s="772">
        <f t="shared" si="5"/>
        <v>1</v>
      </c>
    </row>
    <row r="12" spans="1:30" s="116" customFormat="1" ht="15">
      <c r="A12" s="430"/>
      <c r="B12" s="2599" t="s">
        <v>2728</v>
      </c>
      <c r="C12" s="2985" t="s">
        <v>3289</v>
      </c>
      <c r="D12" s="432">
        <v>100</v>
      </c>
      <c r="E12" s="2986" t="s">
        <v>3289</v>
      </c>
      <c r="F12" s="135">
        <f>SUMIF(82:82,E12,83:83)-SUMIF(82:82,C12,83:83)+100</f>
        <v>100</v>
      </c>
      <c r="G12" s="2987" t="s">
        <v>3289</v>
      </c>
      <c r="H12" s="135">
        <f>SUMIF(82:82,G12,83:83)-SUMIF(82:82,C12,83:83)+100</f>
        <v>100</v>
      </c>
      <c r="I12" s="2986" t="s">
        <v>3289</v>
      </c>
      <c r="J12" s="135">
        <f>SUMIF(82:82,I12,83:83)-SUMIF(82:82,C12,83:83)+100</f>
        <v>100</v>
      </c>
      <c r="K12" s="671"/>
      <c r="L12" s="1134"/>
      <c r="M12" s="1135"/>
      <c r="N12" s="1135"/>
      <c r="O12" s="1136"/>
      <c r="P12" s="3334"/>
      <c r="Q12" s="1796" t="str">
        <f t="shared" si="6"/>
        <v>配建</v>
      </c>
      <c r="R12" s="769" t="s">
        <v>17</v>
      </c>
      <c r="S12" s="770">
        <f t="shared" si="0"/>
        <v>100</v>
      </c>
      <c r="T12" s="769" t="s">
        <v>17</v>
      </c>
      <c r="U12" s="770">
        <f t="shared" si="1"/>
        <v>100</v>
      </c>
      <c r="V12" s="769" t="s">
        <v>17</v>
      </c>
      <c r="W12" s="770">
        <f t="shared" si="2"/>
        <v>100</v>
      </c>
      <c r="X12" s="771"/>
      <c r="Y12" s="3128"/>
      <c r="Z12" s="55" t="str">
        <f t="shared" si="7"/>
        <v>配建</v>
      </c>
      <c r="AA12" s="772">
        <f>D12/F12</f>
        <v>1</v>
      </c>
      <c r="AB12" s="772">
        <f>D12/H12</f>
        <v>1</v>
      </c>
      <c r="AC12" s="772">
        <f>D12/J12</f>
        <v>1</v>
      </c>
    </row>
    <row r="13" spans="1:30" ht="15">
      <c r="A13" s="427"/>
      <c r="B13" s="2981" t="s">
        <v>3292</v>
      </c>
      <c r="C13" s="2982" t="s">
        <v>3290</v>
      </c>
      <c r="D13" s="434">
        <v>100</v>
      </c>
      <c r="E13" s="2983" t="s">
        <v>3290</v>
      </c>
      <c r="F13" s="135">
        <f>SUMIF(84:84,E13,85:85)-SUMIF(84:84,C13,85:85)+100</f>
        <v>100</v>
      </c>
      <c r="G13" s="2984" t="s">
        <v>3291</v>
      </c>
      <c r="H13" s="434">
        <f>SUMIF(84:84,G13,85:85)-SUMIF(84:84,C13,85:85)+100</f>
        <v>100</v>
      </c>
      <c r="I13" s="2984" t="s">
        <v>3291</v>
      </c>
      <c r="J13" s="434">
        <f>SUMIF(84:84,I13,85:85)-SUMIF(84:84,C13,85:85)+100</f>
        <v>100</v>
      </c>
      <c r="K13" s="671"/>
      <c r="L13" s="1142"/>
      <c r="M13" s="1133"/>
      <c r="N13" s="1133"/>
      <c r="O13" s="1141"/>
      <c r="P13" s="3334"/>
      <c r="Q13" s="1796" t="str">
        <f t="shared" si="6"/>
        <v>自持</v>
      </c>
      <c r="R13" s="769" t="s">
        <v>17</v>
      </c>
      <c r="S13" s="770">
        <f t="shared" si="0"/>
        <v>100</v>
      </c>
      <c r="T13" s="769" t="s">
        <v>17</v>
      </c>
      <c r="U13" s="770">
        <f t="shared" si="1"/>
        <v>100</v>
      </c>
      <c r="V13" s="769" t="s">
        <v>17</v>
      </c>
      <c r="W13" s="770">
        <f t="shared" si="2"/>
        <v>100</v>
      </c>
      <c r="X13" s="771"/>
      <c r="Y13" s="3128"/>
      <c r="Z13" s="55" t="str">
        <f t="shared" si="7"/>
        <v>自持</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34"/>
      <c r="Q14" s="1796">
        <f t="shared" si="6"/>
        <v>111</v>
      </c>
      <c r="R14" s="769" t="s">
        <v>17</v>
      </c>
      <c r="S14" s="770">
        <f t="shared" si="0"/>
        <v>100</v>
      </c>
      <c r="T14" s="769" t="s">
        <v>17</v>
      </c>
      <c r="U14" s="770">
        <f t="shared" si="1"/>
        <v>100</v>
      </c>
      <c r="V14" s="769" t="s">
        <v>17</v>
      </c>
      <c r="W14" s="770">
        <f t="shared" si="2"/>
        <v>100</v>
      </c>
      <c r="X14" s="771"/>
      <c r="Y14" s="3128"/>
      <c r="Z14" s="55">
        <f t="shared" si="7"/>
        <v>111</v>
      </c>
      <c r="AA14" s="772">
        <f>D14/F14</f>
        <v>1</v>
      </c>
      <c r="AB14" s="772">
        <f>D14/H14</f>
        <v>1</v>
      </c>
      <c r="AC14" s="772">
        <f>D14/J14</f>
        <v>1</v>
      </c>
    </row>
    <row r="15" spans="1:30" ht="15">
      <c r="A15" s="439" t="s">
        <v>2540</v>
      </c>
      <c r="B15" s="68" t="s">
        <v>2076</v>
      </c>
      <c r="C15" s="2602" t="str">
        <f>估价对象房地状况!C15</f>
        <v>一般</v>
      </c>
      <c r="D15" s="440">
        <v>100</v>
      </c>
      <c r="E15" s="441"/>
      <c r="F15" s="440">
        <f>SUMIF(88:88,E16,89:89)-SUMIF(88:88,C16,89:89)+100</f>
        <v>103</v>
      </c>
      <c r="G15" s="441"/>
      <c r="H15" s="440">
        <f>SUMIF(88:88,G16,89:89)-SUMIF(88:88,C16,89:89)+100</f>
        <v>100</v>
      </c>
      <c r="I15" s="443"/>
      <c r="J15" s="440">
        <f>SUMIF(88:88,I16,89:89)-SUMIF(88:88,C16,89:89)+100</f>
        <v>103</v>
      </c>
      <c r="K15" s="672">
        <v>3</v>
      </c>
      <c r="L15" s="1142"/>
      <c r="M15" s="1133"/>
      <c r="N15" s="1133"/>
      <c r="O15" s="1141"/>
      <c r="P15" s="3336" t="s">
        <v>2541</v>
      </c>
      <c r="Q15" s="1811" t="str">
        <f t="shared" si="6"/>
        <v>居住社区成熟度</v>
      </c>
      <c r="R15" s="773" t="s">
        <v>17</v>
      </c>
      <c r="S15" s="774">
        <f t="shared" si="0"/>
        <v>103</v>
      </c>
      <c r="T15" s="773" t="s">
        <v>17</v>
      </c>
      <c r="U15" s="774">
        <f t="shared" si="1"/>
        <v>100</v>
      </c>
      <c r="V15" s="773" t="s">
        <v>17</v>
      </c>
      <c r="W15" s="774">
        <f t="shared" si="2"/>
        <v>103</v>
      </c>
      <c r="X15" s="1814"/>
      <c r="Y15" s="3336" t="s">
        <v>2541</v>
      </c>
      <c r="Z15" s="1815" t="str">
        <f t="shared" si="7"/>
        <v>居住社区成熟度</v>
      </c>
      <c r="AA15" s="1812">
        <f t="shared" si="3"/>
        <v>0.970873786407767</v>
      </c>
      <c r="AB15" s="1812">
        <f t="shared" si="4"/>
        <v>1</v>
      </c>
      <c r="AC15" s="1812">
        <f t="shared" si="5"/>
        <v>0.970873786407767</v>
      </c>
    </row>
    <row r="16" spans="1:30" ht="15">
      <c r="A16" s="427"/>
      <c r="B16" s="445"/>
      <c r="C16" s="446" t="s">
        <v>3194</v>
      </c>
      <c r="D16" s="447"/>
      <c r="E16" s="2604" t="s">
        <v>3202</v>
      </c>
      <c r="F16" s="447"/>
      <c r="G16" s="2604" t="s">
        <v>3194</v>
      </c>
      <c r="H16" s="449"/>
      <c r="I16" s="2603" t="s">
        <v>3202</v>
      </c>
      <c r="J16" s="447"/>
      <c r="K16" s="671"/>
      <c r="L16" s="1142"/>
      <c r="M16" s="1133"/>
      <c r="N16" s="1133"/>
      <c r="O16" s="1141"/>
      <c r="P16" s="3337"/>
      <c r="Q16" s="1811"/>
      <c r="R16" s="773"/>
      <c r="S16" s="774"/>
      <c r="T16" s="773"/>
      <c r="U16" s="774"/>
      <c r="V16" s="773"/>
      <c r="W16" s="774"/>
      <c r="X16" s="1814"/>
      <c r="Y16" s="3337"/>
      <c r="Z16" s="1815"/>
      <c r="AA16" s="1812">
        <v>1</v>
      </c>
      <c r="AB16" s="1812">
        <v>1</v>
      </c>
      <c r="AC16" s="1812">
        <v>1</v>
      </c>
    </row>
    <row r="17" spans="1:29" ht="15">
      <c r="A17" s="427"/>
      <c r="B17" s="450" t="s">
        <v>2634</v>
      </c>
      <c r="C17" s="2663" t="str">
        <f>估价对象房地状况!C16</f>
        <v>较差</v>
      </c>
      <c r="D17" s="449">
        <v>100</v>
      </c>
      <c r="E17" s="451"/>
      <c r="F17" s="449">
        <f>SUMIF(90:90,E18,91:91)-SUMIF(90:90,C18,91:91)+100</f>
        <v>102</v>
      </c>
      <c r="G17" s="451"/>
      <c r="H17" s="454">
        <f>SUMIF(90:90,G18,91:91)-SUMIF(90:90,C18,91:91)+100</f>
        <v>102</v>
      </c>
      <c r="I17" s="453"/>
      <c r="J17" s="454">
        <f>SUMIF(90:90,I18,91:91)-SUMIF(90:90,C18,91:91)+100</f>
        <v>102</v>
      </c>
      <c r="K17" s="672">
        <v>2</v>
      </c>
      <c r="L17" s="1142"/>
      <c r="M17" s="1133"/>
      <c r="N17" s="1133"/>
      <c r="O17" s="1141"/>
      <c r="P17" s="3337"/>
      <c r="Q17" s="1811" t="str">
        <f>B17</f>
        <v>商业繁华度</v>
      </c>
      <c r="R17" s="773" t="s">
        <v>17</v>
      </c>
      <c r="S17" s="774">
        <f>F17</f>
        <v>102</v>
      </c>
      <c r="T17" s="773" t="s">
        <v>17</v>
      </c>
      <c r="U17" s="774">
        <f>H17</f>
        <v>102</v>
      </c>
      <c r="V17" s="773" t="s">
        <v>17</v>
      </c>
      <c r="W17" s="774">
        <f>J17</f>
        <v>102</v>
      </c>
      <c r="X17" s="1814"/>
      <c r="Y17" s="3337"/>
      <c r="Z17" s="1815" t="str">
        <f>Q17</f>
        <v>商业繁华度</v>
      </c>
      <c r="AA17" s="1812">
        <f t="shared" si="3"/>
        <v>0.98039215686274506</v>
      </c>
      <c r="AB17" s="1812">
        <f t="shared" si="4"/>
        <v>0.98039215686274506</v>
      </c>
      <c r="AC17" s="1812">
        <f t="shared" si="5"/>
        <v>0.98039215686274506</v>
      </c>
    </row>
    <row r="18" spans="1:29" ht="15">
      <c r="A18" s="427"/>
      <c r="B18" s="455"/>
      <c r="C18" s="2607" t="s">
        <v>3196</v>
      </c>
      <c r="D18" s="449"/>
      <c r="E18" s="2609" t="s">
        <v>3194</v>
      </c>
      <c r="F18" s="449"/>
      <c r="G18" s="2609" t="s">
        <v>3194</v>
      </c>
      <c r="H18" s="447"/>
      <c r="I18" s="2608" t="s">
        <v>3194</v>
      </c>
      <c r="J18" s="447"/>
      <c r="K18" s="671"/>
      <c r="L18" s="1142"/>
      <c r="M18" s="1133"/>
      <c r="N18" s="1133"/>
      <c r="O18" s="1141"/>
      <c r="P18" s="3337"/>
      <c r="Q18" s="1811"/>
      <c r="R18" s="773"/>
      <c r="S18" s="774"/>
      <c r="T18" s="773"/>
      <c r="U18" s="774"/>
      <c r="V18" s="773"/>
      <c r="W18" s="774"/>
      <c r="X18" s="1814"/>
      <c r="Y18" s="3337"/>
      <c r="Z18" s="1815"/>
      <c r="AA18" s="1812">
        <v>1</v>
      </c>
      <c r="AB18" s="1812">
        <v>1</v>
      </c>
      <c r="AC18" s="1812">
        <v>1</v>
      </c>
    </row>
    <row r="19" spans="1:29" ht="15" hidden="1">
      <c r="A19" s="427"/>
      <c r="B19" s="450" t="s">
        <v>2668</v>
      </c>
      <c r="C19" s="266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37"/>
      <c r="Q19" s="1811" t="str">
        <f>B19</f>
        <v>办公集聚程度</v>
      </c>
      <c r="R19" s="773" t="s">
        <v>17</v>
      </c>
      <c r="S19" s="774">
        <f>F19</f>
        <v>100</v>
      </c>
      <c r="T19" s="773" t="s">
        <v>17</v>
      </c>
      <c r="U19" s="774">
        <f>H19</f>
        <v>100</v>
      </c>
      <c r="V19" s="773" t="s">
        <v>17</v>
      </c>
      <c r="W19" s="774">
        <f>J19</f>
        <v>100</v>
      </c>
      <c r="X19" s="1814"/>
      <c r="Y19" s="3337"/>
      <c r="Z19" s="1815" t="str">
        <f>Q19</f>
        <v>办公集聚程度</v>
      </c>
      <c r="AA19" s="1812">
        <f t="shared" si="3"/>
        <v>1</v>
      </c>
      <c r="AB19" s="1812">
        <f t="shared" si="4"/>
        <v>1</v>
      </c>
      <c r="AC19" s="1812">
        <f t="shared" si="5"/>
        <v>1</v>
      </c>
    </row>
    <row r="20" spans="1:29" ht="15" hidden="1">
      <c r="A20" s="427"/>
      <c r="B20" s="455"/>
      <c r="C20" s="446"/>
      <c r="D20" s="447"/>
      <c r="E20" s="2604"/>
      <c r="F20" s="447"/>
      <c r="G20" s="2604"/>
      <c r="H20" s="447"/>
      <c r="I20" s="2603"/>
      <c r="J20" s="447"/>
      <c r="K20" s="671"/>
      <c r="L20" s="1142"/>
      <c r="M20" s="1133"/>
      <c r="N20" s="1133"/>
      <c r="O20" s="1141"/>
      <c r="P20" s="3337"/>
      <c r="Q20" s="1811"/>
      <c r="R20" s="773"/>
      <c r="S20" s="774"/>
      <c r="T20" s="773"/>
      <c r="U20" s="774"/>
      <c r="V20" s="773"/>
      <c r="W20" s="774"/>
      <c r="X20" s="1814"/>
      <c r="Y20" s="3337"/>
      <c r="Z20" s="1815"/>
      <c r="AA20" s="1812">
        <v>1</v>
      </c>
      <c r="AB20" s="1812">
        <v>1</v>
      </c>
      <c r="AC20" s="1812">
        <v>1</v>
      </c>
    </row>
    <row r="21" spans="1:29" ht="15">
      <c r="A21" s="427"/>
      <c r="B21" s="450" t="s">
        <v>2690</v>
      </c>
      <c r="C21" s="2606" t="str">
        <f>估价对象房地状况!C18</f>
        <v>一般</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337"/>
      <c r="Q21" s="1811" t="str">
        <f>B21</f>
        <v>交通便捷度</v>
      </c>
      <c r="R21" s="773" t="s">
        <v>17</v>
      </c>
      <c r="S21" s="774">
        <f>F21</f>
        <v>100</v>
      </c>
      <c r="T21" s="773" t="s">
        <v>17</v>
      </c>
      <c r="U21" s="774">
        <f>H21</f>
        <v>100</v>
      </c>
      <c r="V21" s="773" t="s">
        <v>17</v>
      </c>
      <c r="W21" s="774">
        <f>J21</f>
        <v>100</v>
      </c>
      <c r="X21" s="1814"/>
      <c r="Y21" s="3337"/>
      <c r="Z21" s="1815" t="str">
        <f>Q21</f>
        <v>交通便捷度</v>
      </c>
      <c r="AA21" s="1812">
        <f t="shared" si="3"/>
        <v>1</v>
      </c>
      <c r="AB21" s="1812">
        <f t="shared" si="4"/>
        <v>1</v>
      </c>
      <c r="AC21" s="1812">
        <f t="shared" si="5"/>
        <v>1</v>
      </c>
    </row>
    <row r="22" spans="1:29" ht="15">
      <c r="A22" s="427"/>
      <c r="B22" s="1386"/>
      <c r="C22" s="446" t="s">
        <v>3194</v>
      </c>
      <c r="D22" s="449"/>
      <c r="E22" s="2604" t="s">
        <v>3194</v>
      </c>
      <c r="F22" s="447"/>
      <c r="G22" s="2604" t="s">
        <v>3194</v>
      </c>
      <c r="H22" s="447"/>
      <c r="I22" s="2603" t="s">
        <v>3194</v>
      </c>
      <c r="J22" s="447"/>
      <c r="K22" s="671"/>
      <c r="L22" s="1142"/>
      <c r="M22" s="1133"/>
      <c r="N22" s="1133"/>
      <c r="O22" s="1141"/>
      <c r="P22" s="3337"/>
      <c r="Q22" s="1811"/>
      <c r="R22" s="773"/>
      <c r="S22" s="774"/>
      <c r="T22" s="773"/>
      <c r="U22" s="774"/>
      <c r="V22" s="773"/>
      <c r="W22" s="774"/>
      <c r="X22" s="1814"/>
      <c r="Y22" s="3337"/>
      <c r="Z22" s="1815"/>
      <c r="AA22" s="1812">
        <v>1</v>
      </c>
      <c r="AB22" s="1812">
        <v>1</v>
      </c>
      <c r="AC22" s="1812">
        <v>1</v>
      </c>
    </row>
    <row r="23" spans="1:29" ht="15">
      <c r="A23" s="403"/>
      <c r="B23" s="450" t="s">
        <v>2729</v>
      </c>
      <c r="C23" s="1391"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337"/>
      <c r="Q23" s="1811" t="str">
        <f t="shared" ref="Q23:Q37" si="8">B23</f>
        <v>区域土地利用方向</v>
      </c>
      <c r="R23" s="773" t="s">
        <v>17</v>
      </c>
      <c r="S23" s="774">
        <f>F23</f>
        <v>100</v>
      </c>
      <c r="T23" s="773" t="s">
        <v>17</v>
      </c>
      <c r="U23" s="774">
        <f>H23</f>
        <v>100</v>
      </c>
      <c r="V23" s="773" t="s">
        <v>17</v>
      </c>
      <c r="W23" s="774">
        <f>J23</f>
        <v>100</v>
      </c>
      <c r="X23" s="1814"/>
      <c r="Y23" s="3337"/>
      <c r="Z23" s="1815" t="str">
        <f>Q23</f>
        <v>区域土地利用方向</v>
      </c>
      <c r="AA23" s="1812">
        <f t="shared" si="3"/>
        <v>1</v>
      </c>
      <c r="AB23" s="1812">
        <f t="shared" si="4"/>
        <v>1</v>
      </c>
      <c r="AC23" s="1812">
        <f t="shared" si="5"/>
        <v>1</v>
      </c>
    </row>
    <row r="24" spans="1:29" ht="15">
      <c r="A24" s="403"/>
      <c r="B24" s="455"/>
      <c r="C24" s="615" t="s">
        <v>3202</v>
      </c>
      <c r="D24" s="447"/>
      <c r="E24" s="2604" t="s">
        <v>3202</v>
      </c>
      <c r="F24" s="447"/>
      <c r="G24" s="2603" t="s">
        <v>3202</v>
      </c>
      <c r="H24" s="447"/>
      <c r="I24" s="2603" t="s">
        <v>3202</v>
      </c>
      <c r="J24" s="447"/>
      <c r="K24" s="811"/>
      <c r="L24" s="1142"/>
      <c r="M24" s="1133"/>
      <c r="N24" s="1133"/>
      <c r="O24" s="1141"/>
      <c r="P24" s="3337"/>
      <c r="Q24" s="1811"/>
      <c r="R24" s="773"/>
      <c r="S24" s="774"/>
      <c r="T24" s="773"/>
      <c r="U24" s="774"/>
      <c r="V24" s="773"/>
      <c r="W24" s="774"/>
      <c r="X24" s="1814"/>
      <c r="Y24" s="3337"/>
      <c r="Z24" s="1815"/>
      <c r="AA24" s="1812"/>
      <c r="AB24" s="1812"/>
      <c r="AC24" s="1812"/>
    </row>
    <row r="25" spans="1:29" ht="27">
      <c r="A25" s="403"/>
      <c r="B25" s="1386" t="s">
        <v>2730</v>
      </c>
      <c r="C25" s="2663"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337"/>
      <c r="Q25" s="1811" t="str">
        <f t="shared" si="8"/>
        <v>自然及人文环境状况</v>
      </c>
      <c r="R25" s="773" t="s">
        <v>17</v>
      </c>
      <c r="S25" s="774">
        <f>F25</f>
        <v>100</v>
      </c>
      <c r="T25" s="773" t="s">
        <v>17</v>
      </c>
      <c r="U25" s="774">
        <f>H25</f>
        <v>100</v>
      </c>
      <c r="V25" s="773" t="s">
        <v>17</v>
      </c>
      <c r="W25" s="774">
        <f>J25</f>
        <v>100</v>
      </c>
      <c r="X25" s="1814"/>
      <c r="Y25" s="3337"/>
      <c r="Z25" s="1815" t="str">
        <f>Q25</f>
        <v>自然及人文环境状况</v>
      </c>
      <c r="AA25" s="1812">
        <f t="shared" si="3"/>
        <v>1</v>
      </c>
      <c r="AB25" s="1812">
        <f t="shared" si="4"/>
        <v>1</v>
      </c>
      <c r="AC25" s="1812">
        <f t="shared" si="5"/>
        <v>1</v>
      </c>
    </row>
    <row r="26" spans="1:29" ht="15">
      <c r="A26" s="403"/>
      <c r="B26" s="455"/>
      <c r="C26" s="446" t="s">
        <v>3194</v>
      </c>
      <c r="D26" s="447"/>
      <c r="E26" s="2610" t="s">
        <v>3194</v>
      </c>
      <c r="F26" s="447"/>
      <c r="G26" s="2610" t="s">
        <v>3194</v>
      </c>
      <c r="H26" s="447"/>
      <c r="I26" s="446" t="s">
        <v>3194</v>
      </c>
      <c r="J26" s="447"/>
      <c r="K26" s="671"/>
      <c r="L26" s="1142"/>
      <c r="M26" s="1133"/>
      <c r="N26" s="1133"/>
      <c r="O26" s="1141"/>
      <c r="P26" s="3337"/>
      <c r="Q26" s="1811"/>
      <c r="R26" s="773"/>
      <c r="S26" s="774"/>
      <c r="T26" s="773"/>
      <c r="U26" s="774"/>
      <c r="V26" s="773"/>
      <c r="W26" s="774"/>
      <c r="X26" s="1814"/>
      <c r="Y26" s="3337"/>
      <c r="Z26" s="1815"/>
      <c r="AA26" s="1812">
        <v>1</v>
      </c>
      <c r="AB26" s="1812">
        <v>1</v>
      </c>
      <c r="AC26" s="1812">
        <v>1</v>
      </c>
    </row>
    <row r="27" spans="1:29" s="116" customFormat="1" ht="15">
      <c r="A27" s="648"/>
      <c r="B27" s="1386" t="s">
        <v>2635</v>
      </c>
      <c r="C27" s="2606" t="str">
        <f>估价对象房地状况!C21</f>
        <v>一般</v>
      </c>
      <c r="D27" s="449">
        <v>100</v>
      </c>
      <c r="E27" s="451"/>
      <c r="F27" s="449">
        <f>SUMIF(100:100,E28,101:101)-SUMIF(100:100,C28,101:101)+100</f>
        <v>103</v>
      </c>
      <c r="G27" s="451"/>
      <c r="H27" s="449">
        <f>SUMIF(100:100,G28,101:101)-SUMIF(100:100,C28,101:101)+100</f>
        <v>100</v>
      </c>
      <c r="I27" s="453"/>
      <c r="J27" s="449">
        <f>SUMIF(100:100,I28,101:101)-SUMIF(100:100,C28,101:101)+100</f>
        <v>103</v>
      </c>
      <c r="K27" s="672">
        <v>3</v>
      </c>
      <c r="L27" s="1134"/>
      <c r="M27" s="1135"/>
      <c r="N27" s="1135"/>
      <c r="O27" s="1136"/>
      <c r="P27" s="3337"/>
      <c r="Q27" s="1796" t="str">
        <f t="shared" si="8"/>
        <v>公共配套设施</v>
      </c>
      <c r="R27" s="769" t="s">
        <v>17</v>
      </c>
      <c r="S27" s="770">
        <f>F27</f>
        <v>103</v>
      </c>
      <c r="T27" s="769" t="s">
        <v>17</v>
      </c>
      <c r="U27" s="770">
        <f>H27</f>
        <v>100</v>
      </c>
      <c r="V27" s="769" t="s">
        <v>17</v>
      </c>
      <c r="W27" s="770">
        <f>J27</f>
        <v>103</v>
      </c>
      <c r="X27" s="771"/>
      <c r="Y27" s="3337"/>
      <c r="Z27" s="55" t="str">
        <f>Q27</f>
        <v>公共配套设施</v>
      </c>
      <c r="AA27" s="1812">
        <f>D27/F27</f>
        <v>0.970873786407767</v>
      </c>
      <c r="AB27" s="1812">
        <f>D27/H27</f>
        <v>1</v>
      </c>
      <c r="AC27" s="1812">
        <f>D27/J27</f>
        <v>0.970873786407767</v>
      </c>
    </row>
    <row r="28" spans="1:29" s="116" customFormat="1" ht="15">
      <c r="A28" s="648"/>
      <c r="B28" s="455"/>
      <c r="C28" s="2699" t="s">
        <v>3194</v>
      </c>
      <c r="D28" s="447"/>
      <c r="E28" s="2610" t="s">
        <v>3202</v>
      </c>
      <c r="F28" s="447"/>
      <c r="G28" s="2610" t="s">
        <v>3194</v>
      </c>
      <c r="H28" s="447"/>
      <c r="I28" s="446" t="s">
        <v>3202</v>
      </c>
      <c r="J28" s="447"/>
      <c r="K28" s="671"/>
      <c r="L28" s="1134"/>
      <c r="M28" s="1135"/>
      <c r="N28" s="1135"/>
      <c r="O28" s="1136"/>
      <c r="P28" s="3337"/>
      <c r="Q28" s="1796"/>
      <c r="R28" s="769"/>
      <c r="S28" s="770"/>
      <c r="T28" s="769"/>
      <c r="U28" s="770"/>
      <c r="V28" s="769"/>
      <c r="W28" s="770"/>
      <c r="X28" s="771"/>
      <c r="Y28" s="3337"/>
      <c r="Z28" s="55"/>
      <c r="AA28" s="1812">
        <v>1</v>
      </c>
      <c r="AB28" s="1812">
        <v>1</v>
      </c>
      <c r="AC28" s="1812">
        <v>1</v>
      </c>
    </row>
    <row r="29" spans="1:29" s="116" customFormat="1" ht="15">
      <c r="A29" s="648"/>
      <c r="B29" s="1386" t="s">
        <v>2636</v>
      </c>
      <c r="C29" s="260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337"/>
      <c r="Q29" s="1796" t="str">
        <f t="shared" ref="Q29" si="9">B29</f>
        <v>基础设施水平</v>
      </c>
      <c r="R29" s="769" t="s">
        <v>17</v>
      </c>
      <c r="S29" s="770">
        <f>F29</f>
        <v>100</v>
      </c>
      <c r="T29" s="769" t="s">
        <v>17</v>
      </c>
      <c r="U29" s="770">
        <f>H29</f>
        <v>100</v>
      </c>
      <c r="V29" s="769" t="s">
        <v>17</v>
      </c>
      <c r="W29" s="770">
        <f>J29</f>
        <v>100</v>
      </c>
      <c r="X29" s="771"/>
      <c r="Y29" s="3337"/>
      <c r="Z29" s="55" t="str">
        <f>Q29</f>
        <v>基础设施水平</v>
      </c>
      <c r="AA29" s="1812">
        <f>D29/F29</f>
        <v>1</v>
      </c>
      <c r="AB29" s="1812">
        <f>D29/H29</f>
        <v>1</v>
      </c>
      <c r="AC29" s="1812">
        <f>D29/J29</f>
        <v>1</v>
      </c>
    </row>
    <row r="30" spans="1:29" s="116" customFormat="1" ht="15">
      <c r="A30" s="648"/>
      <c r="B30" s="455"/>
      <c r="C30" s="2699" t="s">
        <v>3199</v>
      </c>
      <c r="D30" s="447"/>
      <c r="E30" s="2700" t="s">
        <v>3199</v>
      </c>
      <c r="F30" s="447"/>
      <c r="G30" s="2700" t="s">
        <v>3199</v>
      </c>
      <c r="H30" s="447"/>
      <c r="I30" s="2700" t="s">
        <v>3199</v>
      </c>
      <c r="J30" s="447"/>
      <c r="K30" s="671"/>
      <c r="L30" s="1134"/>
      <c r="M30" s="1135"/>
      <c r="N30" s="1135"/>
      <c r="O30" s="1136"/>
      <c r="P30" s="3337"/>
      <c r="Q30" s="1796"/>
      <c r="R30" s="769"/>
      <c r="S30" s="770"/>
      <c r="T30" s="769"/>
      <c r="U30" s="770"/>
      <c r="V30" s="769"/>
      <c r="W30" s="770"/>
      <c r="X30" s="771"/>
      <c r="Y30" s="3337"/>
      <c r="Z30" s="55"/>
      <c r="AA30" s="1812">
        <v>1</v>
      </c>
      <c r="AB30" s="1812">
        <v>1</v>
      </c>
      <c r="AC30" s="1812">
        <v>1</v>
      </c>
    </row>
    <row r="31" spans="1:29" ht="15">
      <c r="A31" s="427"/>
      <c r="B31" s="455" t="s">
        <v>2637</v>
      </c>
      <c r="C31" s="615" t="s">
        <v>3204</v>
      </c>
      <c r="D31" s="434">
        <v>100</v>
      </c>
      <c r="E31" s="633" t="s">
        <v>3293</v>
      </c>
      <c r="F31" s="434">
        <f>SUMIF(104:104,E31,105:105)-SUMIF(104:104,C31,105:105)+100</f>
        <v>98</v>
      </c>
      <c r="G31" s="633" t="s">
        <v>3293</v>
      </c>
      <c r="H31" s="434">
        <f>SUMIF(104:104,G31,105:105)-SUMIF(104:104,C31,105:105)+100</f>
        <v>98</v>
      </c>
      <c r="I31" s="633" t="s">
        <v>3293</v>
      </c>
      <c r="J31" s="434">
        <f>SUMIF(104:104,I31,105:105)-SUMIF(104:104,C31,105:105)+100</f>
        <v>98</v>
      </c>
      <c r="K31" s="672">
        <v>1</v>
      </c>
      <c r="L31" s="1142"/>
      <c r="M31" s="1133"/>
      <c r="N31" s="1133"/>
      <c r="O31" s="1141"/>
      <c r="P31" s="3337"/>
      <c r="Q31" s="1811" t="str">
        <f t="shared" si="8"/>
        <v>临街状况</v>
      </c>
      <c r="R31" s="773" t="s">
        <v>17</v>
      </c>
      <c r="S31" s="774">
        <f t="shared" ref="S31:S45" si="10">F31</f>
        <v>98</v>
      </c>
      <c r="T31" s="773" t="s">
        <v>17</v>
      </c>
      <c r="U31" s="774">
        <f t="shared" ref="U31:U45" si="11">H31</f>
        <v>98</v>
      </c>
      <c r="V31" s="773" t="s">
        <v>17</v>
      </c>
      <c r="W31" s="774">
        <f t="shared" ref="W31:W45" si="12">J31</f>
        <v>98</v>
      </c>
      <c r="X31" s="1814"/>
      <c r="Y31" s="3337"/>
      <c r="Z31" s="1815" t="str">
        <f t="shared" ref="Z31:Z45" si="13">Q31</f>
        <v>临街状况</v>
      </c>
      <c r="AA31" s="1812">
        <f t="shared" si="3"/>
        <v>1.0204081632653061</v>
      </c>
      <c r="AB31" s="1812">
        <f t="shared" si="4"/>
        <v>1.0204081632653061</v>
      </c>
      <c r="AC31" s="1812">
        <f t="shared" si="5"/>
        <v>1.0204081632653061</v>
      </c>
    </row>
    <row r="32" spans="1:29" ht="27">
      <c r="A32" s="427"/>
      <c r="B32" s="1386" t="s">
        <v>2672</v>
      </c>
      <c r="C32" s="453"/>
      <c r="D32" s="449">
        <v>100</v>
      </c>
      <c r="E32" s="451"/>
      <c r="F32" s="449">
        <f>SUMIF(106:106,E33,107:107)-SUMIF(106:106,C33,107:107)+100</f>
        <v>99</v>
      </c>
      <c r="G32" s="451"/>
      <c r="H32" s="449">
        <f>SUMIF(106:106,G33,107:107)-SUMIF(106:106,C33,107:107)+100</f>
        <v>99</v>
      </c>
      <c r="I32" s="453"/>
      <c r="J32" s="449">
        <f>SUMIF(106:106,I33,107:107)-SUMIF(106:106,C33,107:107)+100</f>
        <v>99</v>
      </c>
      <c r="K32" s="672">
        <v>1</v>
      </c>
      <c r="L32" s="1142"/>
      <c r="M32" s="1133"/>
      <c r="N32" s="1133"/>
      <c r="O32" s="1141"/>
      <c r="P32" s="3337"/>
      <c r="Q32" s="1811" t="str">
        <f t="shared" si="8"/>
        <v>毗邻道路的类型与等级</v>
      </c>
      <c r="R32" s="773" t="s">
        <v>17</v>
      </c>
      <c r="S32" s="774">
        <f t="shared" si="10"/>
        <v>99</v>
      </c>
      <c r="T32" s="773" t="s">
        <v>17</v>
      </c>
      <c r="U32" s="774">
        <f t="shared" si="11"/>
        <v>99</v>
      </c>
      <c r="V32" s="773" t="s">
        <v>17</v>
      </c>
      <c r="W32" s="774">
        <f t="shared" si="12"/>
        <v>99</v>
      </c>
      <c r="X32" s="1814"/>
      <c r="Y32" s="3337"/>
      <c r="Z32" s="1815" t="str">
        <f t="shared" si="13"/>
        <v>毗邻道路的类型与等级</v>
      </c>
      <c r="AA32" s="1812">
        <f t="shared" si="3"/>
        <v>1.0101010101010102</v>
      </c>
      <c r="AB32" s="1812">
        <f t="shared" si="4"/>
        <v>1.0101010101010102</v>
      </c>
      <c r="AC32" s="1812">
        <f t="shared" si="5"/>
        <v>1.0101010101010102</v>
      </c>
    </row>
    <row r="33" spans="1:29" ht="15.75" thickBot="1">
      <c r="A33" s="427"/>
      <c r="B33" s="455"/>
      <c r="C33" s="446" t="s">
        <v>3298</v>
      </c>
      <c r="D33" s="447"/>
      <c r="E33" s="2610" t="s">
        <v>3300</v>
      </c>
      <c r="F33" s="447"/>
      <c r="G33" s="2610" t="s">
        <v>3300</v>
      </c>
      <c r="H33" s="447"/>
      <c r="I33" s="446" t="s">
        <v>3300</v>
      </c>
      <c r="J33" s="447"/>
      <c r="K33" s="612"/>
      <c r="L33" s="1142"/>
      <c r="M33" s="1133"/>
      <c r="N33" s="1133"/>
      <c r="O33" s="1141"/>
      <c r="P33" s="3337"/>
      <c r="Q33" s="1811"/>
      <c r="R33" s="773"/>
      <c r="S33" s="774"/>
      <c r="T33" s="773"/>
      <c r="U33" s="774"/>
      <c r="V33" s="773"/>
      <c r="W33" s="774"/>
      <c r="X33" s="1814"/>
      <c r="Y33" s="3337"/>
      <c r="Z33" s="1815"/>
      <c r="AA33" s="1812">
        <v>1</v>
      </c>
      <c r="AB33" s="1812">
        <v>1</v>
      </c>
      <c r="AC33" s="1812">
        <v>1</v>
      </c>
    </row>
    <row r="34" spans="1:29" ht="15" hidden="1">
      <c r="A34" s="427"/>
      <c r="B34" s="421" t="s">
        <v>2731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37"/>
      <c r="Q34" s="1811" t="str">
        <f t="shared" si="8"/>
        <v>土地级别</v>
      </c>
      <c r="R34" s="773" t="s">
        <v>17</v>
      </c>
      <c r="S34" s="774">
        <f t="shared" si="10"/>
        <v>100</v>
      </c>
      <c r="T34" s="773" t="s">
        <v>17</v>
      </c>
      <c r="U34" s="774">
        <f t="shared" si="11"/>
        <v>100</v>
      </c>
      <c r="V34" s="773" t="s">
        <v>17</v>
      </c>
      <c r="W34" s="774">
        <f t="shared" si="12"/>
        <v>100</v>
      </c>
      <c r="X34" s="1814"/>
      <c r="Y34" s="3337"/>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37"/>
      <c r="Q35" s="1811">
        <f t="shared" si="8"/>
        <v>111</v>
      </c>
      <c r="R35" s="773" t="s">
        <v>17</v>
      </c>
      <c r="S35" s="774">
        <f t="shared" si="10"/>
        <v>100</v>
      </c>
      <c r="T35" s="773" t="s">
        <v>17</v>
      </c>
      <c r="U35" s="774">
        <f t="shared" si="11"/>
        <v>100</v>
      </c>
      <c r="V35" s="773" t="s">
        <v>17</v>
      </c>
      <c r="W35" s="774">
        <f t="shared" si="12"/>
        <v>100</v>
      </c>
      <c r="X35" s="1814"/>
      <c r="Y35" s="3337"/>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38" t="s">
        <v>2546</v>
      </c>
      <c r="Q36" s="1811">
        <f t="shared" si="8"/>
        <v>111</v>
      </c>
      <c r="R36" s="773" t="s">
        <v>17</v>
      </c>
      <c r="S36" s="774">
        <f t="shared" si="10"/>
        <v>100</v>
      </c>
      <c r="T36" s="773" t="s">
        <v>17</v>
      </c>
      <c r="U36" s="774">
        <f t="shared" si="11"/>
        <v>100</v>
      </c>
      <c r="V36" s="773" t="s">
        <v>17</v>
      </c>
      <c r="W36" s="774">
        <f t="shared" si="12"/>
        <v>100</v>
      </c>
      <c r="X36" s="1814"/>
      <c r="Y36" s="3339" t="s">
        <v>2546</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39"/>
      <c r="Q37" s="1811">
        <f t="shared" si="8"/>
        <v>111</v>
      </c>
      <c r="R37" s="776" t="s">
        <v>17</v>
      </c>
      <c r="S37" s="777">
        <f t="shared" si="10"/>
        <v>100</v>
      </c>
      <c r="T37" s="776" t="s">
        <v>17</v>
      </c>
      <c r="U37" s="777">
        <f t="shared" si="11"/>
        <v>100</v>
      </c>
      <c r="V37" s="776" t="s">
        <v>17</v>
      </c>
      <c r="W37" s="777">
        <f t="shared" si="12"/>
        <v>100</v>
      </c>
      <c r="X37" s="778"/>
      <c r="Y37" s="3339"/>
      <c r="Z37" s="779">
        <f t="shared" si="13"/>
        <v>111</v>
      </c>
      <c r="AA37" s="1812">
        <f t="shared" si="3"/>
        <v>1</v>
      </c>
      <c r="AB37" s="1812">
        <f t="shared" si="4"/>
        <v>1</v>
      </c>
      <c r="AC37" s="1812">
        <f t="shared" si="5"/>
        <v>1</v>
      </c>
    </row>
    <row r="38" spans="1:29" ht="15">
      <c r="A38" s="471" t="s">
        <v>2544</v>
      </c>
      <c r="B38" s="455" t="s">
        <v>2732</v>
      </c>
      <c r="C38" s="678">
        <f>'数据-基础表'!A3</f>
        <v>91043.21</v>
      </c>
      <c r="D38" s="466">
        <v>100</v>
      </c>
      <c r="E38" s="678">
        <f>土地案例!D2</f>
        <v>36365.370000000003</v>
      </c>
      <c r="F38" s="466">
        <f>LOOKUP(E38,117:117,118:118)-LOOKUP(C38,117:117,118:118)+100</f>
        <v>98</v>
      </c>
      <c r="G38" s="678">
        <f>土地案例!D3</f>
        <v>151738.6</v>
      </c>
      <c r="H38" s="466">
        <f>LOOKUP(G38,117:117,118:118)-LOOKUP(C38,117:117,118:118)+100</f>
        <v>104</v>
      </c>
      <c r="I38" s="529">
        <f>土地案例!D5</f>
        <v>65602.95</v>
      </c>
      <c r="J38" s="466">
        <f>LOOKUP(I38,117:117,118:118)-LOOKUP(C38,117:117,118:118)+100</f>
        <v>100</v>
      </c>
      <c r="K38" s="612"/>
      <c r="L38" s="1142"/>
      <c r="M38" s="1133"/>
      <c r="N38" s="1133"/>
      <c r="O38" s="1141"/>
      <c r="P38" s="3339"/>
      <c r="Q38" s="1811" t="str">
        <f>B38</f>
        <v>宗地面积</v>
      </c>
      <c r="R38" s="773" t="s">
        <v>17</v>
      </c>
      <c r="S38" s="774">
        <f t="shared" si="10"/>
        <v>98</v>
      </c>
      <c r="T38" s="773" t="s">
        <v>17</v>
      </c>
      <c r="U38" s="774">
        <f t="shared" si="11"/>
        <v>104</v>
      </c>
      <c r="V38" s="773" t="s">
        <v>17</v>
      </c>
      <c r="W38" s="774">
        <f t="shared" si="12"/>
        <v>100</v>
      </c>
      <c r="X38" s="1814"/>
      <c r="Y38" s="3339"/>
      <c r="Z38" s="1815" t="str">
        <f t="shared" si="13"/>
        <v>宗地面积</v>
      </c>
      <c r="AA38" s="1812">
        <f t="shared" si="3"/>
        <v>1.0204081632653061</v>
      </c>
      <c r="AB38" s="1812">
        <f t="shared" si="4"/>
        <v>0.96153846153846156</v>
      </c>
      <c r="AC38" s="1812">
        <f t="shared" si="5"/>
        <v>1</v>
      </c>
    </row>
    <row r="39" spans="1:29" ht="15">
      <c r="A39" s="471"/>
      <c r="B39" s="421" t="s">
        <v>2733</v>
      </c>
      <c r="C39" s="2612" t="s">
        <v>3302</v>
      </c>
      <c r="D39" s="434">
        <v>100</v>
      </c>
      <c r="E39" s="2612" t="s">
        <v>3304</v>
      </c>
      <c r="F39" s="434">
        <f>SUMIF(119:119,E39,120:120)-SUMIF(119:119,C39,120:120)+100</f>
        <v>97</v>
      </c>
      <c r="G39" s="2612" t="s">
        <v>3306</v>
      </c>
      <c r="H39" s="434">
        <f>SUMIF(119:119,G39,120:120)-SUMIF(119:119,C39,120:120)+100</f>
        <v>94</v>
      </c>
      <c r="I39" s="2612" t="s">
        <v>3304</v>
      </c>
      <c r="J39" s="434">
        <f>SUMIF(119:119,I39,120:120)-SUMIF(119:119,C39,120:120)+100</f>
        <v>97</v>
      </c>
      <c r="K39" s="611">
        <v>3</v>
      </c>
      <c r="L39" s="1142"/>
      <c r="M39" s="1133"/>
      <c r="N39" s="1133"/>
      <c r="O39" s="1141"/>
      <c r="P39" s="3339"/>
      <c r="Q39" s="1811" t="str">
        <f t="shared" ref="Q39:Q45" si="14">B39</f>
        <v>宗地形状</v>
      </c>
      <c r="R39" s="773" t="s">
        <v>17</v>
      </c>
      <c r="S39" s="774">
        <f t="shared" si="10"/>
        <v>97</v>
      </c>
      <c r="T39" s="773" t="s">
        <v>17</v>
      </c>
      <c r="U39" s="774">
        <f t="shared" si="11"/>
        <v>94</v>
      </c>
      <c r="V39" s="773" t="s">
        <v>17</v>
      </c>
      <c r="W39" s="774">
        <f t="shared" si="12"/>
        <v>97</v>
      </c>
      <c r="X39" s="1814"/>
      <c r="Y39" s="3339"/>
      <c r="Z39" s="1815" t="str">
        <f t="shared" si="13"/>
        <v>宗地形状</v>
      </c>
      <c r="AA39" s="1812">
        <f t="shared" si="3"/>
        <v>1.0309278350515463</v>
      </c>
      <c r="AB39" s="1812">
        <f t="shared" si="4"/>
        <v>1.0638297872340425</v>
      </c>
      <c r="AC39" s="1812">
        <f t="shared" si="5"/>
        <v>1.0309278350515463</v>
      </c>
    </row>
    <row r="40" spans="1:29" ht="15" hidden="1">
      <c r="A40" s="471"/>
      <c r="B40" s="421" t="s">
        <v>2734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v>2</v>
      </c>
      <c r="L40" s="1142"/>
      <c r="M40" s="1133"/>
      <c r="N40" s="1133"/>
      <c r="O40" s="1141"/>
      <c r="P40" s="3339"/>
      <c r="Q40" s="1811" t="str">
        <f t="shared" si="14"/>
        <v>临街宽度及深度</v>
      </c>
      <c r="R40" s="773" t="s">
        <v>17</v>
      </c>
      <c r="S40" s="774">
        <f t="shared" si="10"/>
        <v>100</v>
      </c>
      <c r="T40" s="773" t="s">
        <v>17</v>
      </c>
      <c r="U40" s="774">
        <f t="shared" si="11"/>
        <v>100</v>
      </c>
      <c r="V40" s="773" t="s">
        <v>17</v>
      </c>
      <c r="W40" s="774">
        <f t="shared" si="12"/>
        <v>100</v>
      </c>
      <c r="X40" s="1814"/>
      <c r="Y40" s="3339"/>
      <c r="Z40" s="1815" t="str">
        <f t="shared" si="13"/>
        <v>临街宽度及深度</v>
      </c>
      <c r="AA40" s="1812">
        <f t="shared" si="3"/>
        <v>1</v>
      </c>
      <c r="AB40" s="1812">
        <f t="shared" si="4"/>
        <v>1</v>
      </c>
      <c r="AC40" s="1812">
        <f t="shared" si="5"/>
        <v>1</v>
      </c>
    </row>
    <row r="41" spans="1:29" s="116" customFormat="1" ht="15">
      <c r="A41" s="472"/>
      <c r="B41" s="421" t="s">
        <v>2735</v>
      </c>
      <c r="C41" s="2701" t="s">
        <v>3314</v>
      </c>
      <c r="D41" s="135">
        <v>100</v>
      </c>
      <c r="E41" s="2701" t="s">
        <v>3320</v>
      </c>
      <c r="F41" s="434">
        <f>SUMIF(123:123,E41,124:124)-SUMIF(123:123,C41,124:124)+100</f>
        <v>99</v>
      </c>
      <c r="G41" s="2701" t="s">
        <v>3310</v>
      </c>
      <c r="H41" s="434">
        <f>SUMIF(123:123,G41,124:124)-SUMIF(123:123,C41,124:124)+100</f>
        <v>103</v>
      </c>
      <c r="I41" s="2701" t="s">
        <v>3320</v>
      </c>
      <c r="J41" s="434">
        <f>SUMIF(123:123,I41,124:124)-SUMIF(123:123,C41,124:124)+100</f>
        <v>99</v>
      </c>
      <c r="K41" s="611">
        <v>1</v>
      </c>
      <c r="L41" s="1134"/>
      <c r="M41" s="1135"/>
      <c r="N41" s="1135"/>
      <c r="O41" s="1136"/>
      <c r="P41" s="3339"/>
      <c r="Q41" s="1811" t="str">
        <f t="shared" si="14"/>
        <v>宗地开发程度</v>
      </c>
      <c r="R41" s="769" t="s">
        <v>17</v>
      </c>
      <c r="S41" s="770">
        <f t="shared" si="10"/>
        <v>99</v>
      </c>
      <c r="T41" s="769" t="s">
        <v>17</v>
      </c>
      <c r="U41" s="770">
        <f t="shared" si="11"/>
        <v>103</v>
      </c>
      <c r="V41" s="769" t="s">
        <v>17</v>
      </c>
      <c r="W41" s="770">
        <f t="shared" si="12"/>
        <v>99</v>
      </c>
      <c r="X41" s="771"/>
      <c r="Y41" s="3339"/>
      <c r="Z41" s="55" t="str">
        <f t="shared" si="13"/>
        <v>宗地开发程度</v>
      </c>
      <c r="AA41" s="772">
        <f t="shared" si="3"/>
        <v>1.0101010101010102</v>
      </c>
      <c r="AB41" s="772">
        <f t="shared" si="4"/>
        <v>0.970873786407767</v>
      </c>
      <c r="AC41" s="772">
        <f t="shared" si="5"/>
        <v>1.0101010101010102</v>
      </c>
    </row>
    <row r="42" spans="1:29" ht="15.75" thickBot="1">
      <c r="A42" s="471"/>
      <c r="B42" s="421" t="s">
        <v>2736</v>
      </c>
      <c r="C42" s="2612" t="s">
        <v>3316</v>
      </c>
      <c r="D42" s="434">
        <v>100</v>
      </c>
      <c r="E42" s="2612" t="s">
        <v>3316</v>
      </c>
      <c r="F42" s="434">
        <f>SUMIF(125:125,E42,126:126)-SUMIF(125:125,C42,126:126)+100</f>
        <v>100</v>
      </c>
      <c r="G42" s="2612" t="s">
        <v>3316</v>
      </c>
      <c r="H42" s="434">
        <f>SUMIF(125:125,G42,126:126)-SUMIF(125:125,C42,126:126)+100</f>
        <v>100</v>
      </c>
      <c r="I42" s="2612" t="s">
        <v>3316</v>
      </c>
      <c r="J42" s="434">
        <f>SUMIF(125:125,I42,126:126)-SUMIF(125:125,C42,126:126)+100</f>
        <v>100</v>
      </c>
      <c r="K42" s="611">
        <v>2</v>
      </c>
      <c r="L42" s="1142"/>
      <c r="M42" s="1133"/>
      <c r="N42" s="1133"/>
      <c r="O42" s="1141"/>
      <c r="P42" s="3339" t="s">
        <v>2546</v>
      </c>
      <c r="Q42" s="1811" t="str">
        <f t="shared" si="14"/>
        <v>工程地质条件</v>
      </c>
      <c r="R42" s="773" t="s">
        <v>17</v>
      </c>
      <c r="S42" s="774">
        <f t="shared" si="10"/>
        <v>100</v>
      </c>
      <c r="T42" s="773" t="s">
        <v>17</v>
      </c>
      <c r="U42" s="774">
        <f t="shared" si="11"/>
        <v>100</v>
      </c>
      <c r="V42" s="773" t="s">
        <v>17</v>
      </c>
      <c r="W42" s="774">
        <f t="shared" si="12"/>
        <v>100</v>
      </c>
      <c r="X42" s="1814"/>
      <c r="Y42" s="3339" t="s">
        <v>2546</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39"/>
      <c r="Q43" s="1811">
        <f t="shared" si="14"/>
        <v>111</v>
      </c>
      <c r="R43" s="773" t="s">
        <v>17</v>
      </c>
      <c r="S43" s="774">
        <f t="shared" si="10"/>
        <v>100</v>
      </c>
      <c r="T43" s="773" t="s">
        <v>17</v>
      </c>
      <c r="U43" s="774">
        <f t="shared" si="11"/>
        <v>100</v>
      </c>
      <c r="V43" s="773" t="s">
        <v>17</v>
      </c>
      <c r="W43" s="774">
        <f t="shared" si="12"/>
        <v>100</v>
      </c>
      <c r="X43" s="1814"/>
      <c r="Y43" s="3339"/>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39"/>
      <c r="Q44" s="1811">
        <f t="shared" si="14"/>
        <v>111</v>
      </c>
      <c r="R44" s="773" t="s">
        <v>17</v>
      </c>
      <c r="S44" s="774">
        <f t="shared" si="10"/>
        <v>100</v>
      </c>
      <c r="T44" s="773" t="s">
        <v>17</v>
      </c>
      <c r="U44" s="774">
        <f t="shared" si="11"/>
        <v>100</v>
      </c>
      <c r="V44" s="773" t="s">
        <v>17</v>
      </c>
      <c r="W44" s="774">
        <f t="shared" si="12"/>
        <v>100</v>
      </c>
      <c r="X44" s="1814"/>
      <c r="Y44" s="3339"/>
      <c r="Z44" s="1815">
        <f t="shared" si="13"/>
        <v>111</v>
      </c>
      <c r="AA44" s="1812">
        <f t="shared" si="3"/>
        <v>1</v>
      </c>
      <c r="AB44" s="1812">
        <f t="shared" si="4"/>
        <v>1</v>
      </c>
      <c r="AC44" s="1812">
        <f t="shared" si="5"/>
        <v>1</v>
      </c>
    </row>
    <row r="45" spans="1:29" s="470" customFormat="1" ht="15.75" hidden="1" thickBot="1">
      <c r="A45" s="467"/>
      <c r="B45" s="1389">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39"/>
      <c r="Q45" s="1811">
        <f t="shared" si="14"/>
        <v>111</v>
      </c>
      <c r="R45" s="776" t="s">
        <v>17</v>
      </c>
      <c r="S45" s="777">
        <f t="shared" si="10"/>
        <v>100</v>
      </c>
      <c r="T45" s="776" t="s">
        <v>17</v>
      </c>
      <c r="U45" s="777">
        <f t="shared" si="11"/>
        <v>100</v>
      </c>
      <c r="V45" s="776" t="s">
        <v>17</v>
      </c>
      <c r="W45" s="777">
        <f t="shared" si="12"/>
        <v>100</v>
      </c>
      <c r="X45" s="778"/>
      <c r="Y45" s="3339"/>
      <c r="Z45" s="779">
        <f t="shared" si="13"/>
        <v>111</v>
      </c>
      <c r="AA45" s="1812">
        <f t="shared" si="3"/>
        <v>1</v>
      </c>
      <c r="AB45" s="1812">
        <f t="shared" si="4"/>
        <v>1</v>
      </c>
      <c r="AC45" s="1812">
        <f t="shared" si="5"/>
        <v>1</v>
      </c>
    </row>
    <row r="46" spans="1:29" ht="15">
      <c r="A46" s="478" t="s">
        <v>2701</v>
      </c>
      <c r="B46" s="2703" t="s">
        <v>2737</v>
      </c>
      <c r="C46" s="681" t="s">
        <v>1</v>
      </c>
      <c r="D46" s="480"/>
      <c r="E46" s="481">
        <f>ROUND(土地案例!K2,0)</f>
        <v>39720</v>
      </c>
      <c r="F46" s="482"/>
      <c r="G46" s="483">
        <f>ROUND(土地案例!K3,0)</f>
        <v>44981</v>
      </c>
      <c r="H46" s="484"/>
      <c r="I46" s="481">
        <f>ROUND(土地案例!K5,0)</f>
        <v>41193</v>
      </c>
      <c r="J46" s="484"/>
      <c r="K46" s="782"/>
      <c r="L46" s="1145"/>
      <c r="M46" s="1146"/>
      <c r="N46" s="1133"/>
      <c r="O46" s="1146"/>
      <c r="P46" s="3334" t="str">
        <f>A46</f>
        <v>成交单价</v>
      </c>
      <c r="Q46" s="3334"/>
      <c r="R46" s="3340">
        <f>E46</f>
        <v>39720</v>
      </c>
      <c r="S46" s="3340"/>
      <c r="T46" s="3340">
        <f>G46</f>
        <v>44981</v>
      </c>
      <c r="U46" s="3340"/>
      <c r="V46" s="3340">
        <f>I46</f>
        <v>41193</v>
      </c>
      <c r="W46" s="3340"/>
      <c r="X46" s="758"/>
      <c r="Y46" s="780"/>
      <c r="Z46" s="758"/>
      <c r="AA46" s="758"/>
      <c r="AB46" s="758"/>
      <c r="AC46" s="758"/>
    </row>
    <row r="47" spans="1:29" ht="15.75" thickBot="1">
      <c r="A47" s="485" t="s">
        <v>2650</v>
      </c>
      <c r="B47" s="682"/>
      <c r="C47" s="489">
        <f>R48</f>
        <v>42142</v>
      </c>
      <c r="D47" s="488"/>
      <c r="E47" s="489">
        <f>R47</f>
        <v>40003</v>
      </c>
      <c r="F47" s="490"/>
      <c r="G47" s="487">
        <f>T47</f>
        <v>45145</v>
      </c>
      <c r="H47" s="488"/>
      <c r="I47" s="489">
        <f>V47</f>
        <v>41279</v>
      </c>
      <c r="J47" s="488"/>
      <c r="K47" s="783"/>
      <c r="L47" s="1145"/>
      <c r="M47" s="1146"/>
      <c r="N47" s="1146"/>
      <c r="O47" s="1146"/>
      <c r="P47" s="3334" t="str">
        <f>A47</f>
        <v>比较价值（元/平方米）</v>
      </c>
      <c r="Q47" s="3334"/>
      <c r="R47" s="3327">
        <f>ROUND(PRODUCT(R46,AA7:AA45),0)</f>
        <v>40003</v>
      </c>
      <c r="S47" s="3327"/>
      <c r="T47" s="3327">
        <f>ROUND(PRODUCT(T46,AB7:AB45),0)</f>
        <v>45145</v>
      </c>
      <c r="U47" s="3327"/>
      <c r="V47" s="3327">
        <f>ROUND(PRODUCT(V46,AC7:AC45),0)</f>
        <v>41279</v>
      </c>
      <c r="W47" s="3327"/>
      <c r="X47" s="758"/>
      <c r="Y47" s="758"/>
      <c r="Z47" s="758"/>
      <c r="AA47" s="758"/>
      <c r="AB47" s="758"/>
      <c r="AC47" s="758"/>
    </row>
    <row r="48" spans="1:29" ht="15.75" thickBot="1">
      <c r="A48" s="491" t="s">
        <v>3319</v>
      </c>
      <c r="B48" s="492"/>
      <c r="C48" s="493">
        <f>R48</f>
        <v>42142</v>
      </c>
      <c r="D48" s="493"/>
      <c r="E48" s="493"/>
      <c r="F48" s="493"/>
      <c r="G48" s="493"/>
      <c r="H48" s="493"/>
      <c r="I48" s="493"/>
      <c r="J48" s="493"/>
      <c r="K48" s="784"/>
      <c r="L48" s="1145"/>
      <c r="M48" s="1146"/>
      <c r="N48" s="1146"/>
      <c r="O48" s="1146"/>
      <c r="P48" s="3328" t="str">
        <f>A48</f>
        <v>估价对象住宅用地比较价值（楼面单价，元/平方米）</v>
      </c>
      <c r="Q48" s="3329"/>
      <c r="R48" s="3330">
        <f>ROUND(AVERAGE(R47:V47),0)</f>
        <v>42142</v>
      </c>
      <c r="S48" s="3330"/>
      <c r="T48" s="3330"/>
      <c r="U48" s="3330"/>
      <c r="V48" s="3330"/>
      <c r="W48" s="333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2652</v>
      </c>
      <c r="D51" s="497"/>
      <c r="E51" s="498">
        <f>IF(E46&lt;E47,E47/E46-1,E46/E47-1)</f>
        <v>7.124874118831892E-3</v>
      </c>
      <c r="F51" s="499" t="str">
        <f>IF(OR(E51&gt;=0.3,E51&lt;=-0.3),"超过30%","")</f>
        <v/>
      </c>
      <c r="G51" s="498">
        <f>IF(G46&lt;G47,G47/G46-1,G46/G47-1)</f>
        <v>3.6459838598519312E-3</v>
      </c>
      <c r="H51" s="499" t="str">
        <f>IF(OR(G51&gt;=0.3,G51&lt;=-0.3),"超过30%","")</f>
        <v/>
      </c>
      <c r="I51" s="498">
        <f>IF(I46&lt;I47,I47/I46-1,I46/I47-1)</f>
        <v>2.0877333527540287E-3</v>
      </c>
      <c r="J51" s="499" t="str">
        <f>IF(OR(I51&gt;=0.3,I51&lt;=-0.3),"超过30%","")</f>
        <v/>
      </c>
      <c r="K51" s="1107"/>
      <c r="L51" s="1108"/>
      <c r="M51" s="1146"/>
      <c r="N51" s="1146"/>
      <c r="O51" s="1146"/>
    </row>
    <row r="52" spans="1:15" ht="13.5" customHeight="1">
      <c r="A52" s="1146"/>
      <c r="B52" s="1146"/>
      <c r="C52" s="496" t="s">
        <v>2653</v>
      </c>
      <c r="D52" s="500"/>
      <c r="E52" s="498">
        <f>IF(E47&lt;G47,G47/E47-1,E47/G47-1)</f>
        <v>0.12854035947303943</v>
      </c>
      <c r="F52" s="499" t="str">
        <f>IF(OR(E52&gt;=0.2,E52&lt;=-0.2),"超过20%","")</f>
        <v/>
      </c>
      <c r="G52" s="498">
        <f>IF(G47&lt;I47,I47/G47-1,G47/I47-1)</f>
        <v>9.365536955837106E-2</v>
      </c>
      <c r="H52" s="499" t="str">
        <f>IF(OR(G52&gt;=0.2,G52&lt;=-0.2),"超过20%","")</f>
        <v/>
      </c>
      <c r="I52" s="498">
        <f>IF(I47&lt;E47,E47/I47-1,I47/E47-1)</f>
        <v>3.1897607679423956E-2</v>
      </c>
      <c r="J52" s="499" t="str">
        <f>IF(OR(I52&gt;=0.2,I52&lt;=-0.2),"超过20%","")</f>
        <v/>
      </c>
      <c r="K52" s="1107"/>
      <c r="L52" s="1108"/>
      <c r="M52" s="1146"/>
      <c r="N52" s="1146"/>
      <c r="O52" s="1146"/>
    </row>
    <row r="53" spans="1:15" s="501" customFormat="1" ht="13.5" customHeight="1">
      <c r="A53" s="1147"/>
      <c r="B53" s="1147"/>
      <c r="C53" s="496" t="s">
        <v>2654</v>
      </c>
      <c r="D53" s="500"/>
      <c r="E53" s="498">
        <f>IF(E46&lt;G46,G46/E46-1,E46/G46-1)</f>
        <v>0.13245216515609259</v>
      </c>
      <c r="F53" s="499" t="str">
        <f>IF(OR(E53&gt;=0.3,E53&lt;=-0.3),"超过30%","")</f>
        <v/>
      </c>
      <c r="G53" s="498">
        <f>IF(G46&lt;I46,I46/G46-1,G46/I46-1)</f>
        <v>9.1957371398053045E-2</v>
      </c>
      <c r="H53" s="499" t="str">
        <f>IF(OR(G53&gt;=0.3,G53&lt;=-0.3),"超过30%","")</f>
        <v/>
      </c>
      <c r="I53" s="498">
        <f>IF(I46&lt;E46,E46/I46-1,I46/E46-1)</f>
        <v>3.7084592145015138E-2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2738</v>
      </c>
      <c r="B55" s="684" t="s">
        <v>2739</v>
      </c>
      <c r="C55" s="2704" t="s">
        <v>2740</v>
      </c>
      <c r="D55" s="2705" t="s">
        <v>2741</v>
      </c>
      <c r="E55" s="685" t="s">
        <v>2742</v>
      </c>
      <c r="F55" s="1109" t="s">
        <v>2743</v>
      </c>
      <c r="G55" s="3331" t="s">
        <v>2744</v>
      </c>
      <c r="H55" s="3332"/>
      <c r="I55" s="143" t="s">
        <v>2745</v>
      </c>
      <c r="J55" s="2706">
        <f>项目基本情况!F35</f>
        <v>0</v>
      </c>
      <c r="K55" s="2707" t="s">
        <v>2746</v>
      </c>
      <c r="L55" s="1108"/>
      <c r="M55" s="1146"/>
      <c r="N55" s="1146"/>
      <c r="O55" s="1146"/>
    </row>
    <row r="56" spans="1:15" s="691" customFormat="1">
      <c r="A56" s="687" t="s">
        <v>2747</v>
      </c>
      <c r="B56" s="688">
        <f>C48</f>
        <v>42142</v>
      </c>
      <c r="C56" s="689">
        <v>1</v>
      </c>
      <c r="D56" s="1165">
        <v>1</v>
      </c>
      <c r="E56" s="689">
        <f>'数据-汇总表'!E8+'数据-汇总表'!E9</f>
        <v>86801.15</v>
      </c>
      <c r="F56" s="1105">
        <f t="shared" ref="F56:F65" si="15">ROUND(B56*E56/10000,0)</f>
        <v>365797</v>
      </c>
      <c r="G56" s="3333"/>
      <c r="H56" s="3334"/>
      <c r="I56" s="1110">
        <v>1</v>
      </c>
      <c r="J56" s="1113">
        <v>1</v>
      </c>
      <c r="K56" s="1147"/>
      <c r="L56" s="943"/>
      <c r="M56" s="943"/>
      <c r="N56" s="943"/>
      <c r="O56" s="943"/>
    </row>
    <row r="57" spans="1:15" s="691" customFormat="1">
      <c r="A57" s="692" t="s">
        <v>2748</v>
      </c>
      <c r="B57" s="261">
        <f>ROUND($C$48*C57*D57,0)</f>
        <v>6321</v>
      </c>
      <c r="C57" s="199">
        <f t="shared" ref="C57:C65" si="16">IF($C$55="北京市系数",I57,J57)</f>
        <v>0.6</v>
      </c>
      <c r="D57" s="1166">
        <v>0.25</v>
      </c>
      <c r="E57" s="693">
        <f>'数据-汇总表'!G22</f>
        <v>230</v>
      </c>
      <c r="F57" s="1105">
        <f t="shared" si="15"/>
        <v>145</v>
      </c>
      <c r="G57" s="3335" t="s">
        <v>2749</v>
      </c>
      <c r="H57" s="1106" t="str">
        <f>项目基本情况!B37</f>
        <v>八级</v>
      </c>
      <c r="I57" s="1110">
        <f>SUMIF(修正!A45:A56,H57,修正!B45:B56)</f>
        <v>0.6</v>
      </c>
      <c r="J57" s="1114"/>
      <c r="K57" s="1146"/>
      <c r="L57" s="943"/>
      <c r="M57" s="943"/>
      <c r="N57" s="943"/>
      <c r="O57" s="943"/>
    </row>
    <row r="58" spans="1:15" s="691" customFormat="1">
      <c r="A58" s="692" t="s">
        <v>2750</v>
      </c>
      <c r="B58" s="261">
        <f t="shared" ref="B58:B65" si="17">ROUND($C$48*C58*D58,0)</f>
        <v>3161</v>
      </c>
      <c r="C58" s="199">
        <f t="shared" si="16"/>
        <v>0.3</v>
      </c>
      <c r="D58" s="1166">
        <v>0.25</v>
      </c>
      <c r="E58" s="693"/>
      <c r="F58" s="1105">
        <f t="shared" si="15"/>
        <v>0</v>
      </c>
      <c r="G58" s="3335"/>
      <c r="H58" s="1106" t="str">
        <f>项目基本情况!B37</f>
        <v>八级</v>
      </c>
      <c r="I58" s="1110">
        <f>SUMIF(修正!A45:A56,H58,修正!C45:C56)</f>
        <v>0.3</v>
      </c>
      <c r="J58" s="1114"/>
      <c r="K58" s="1147"/>
      <c r="L58" s="943"/>
      <c r="M58" s="943"/>
      <c r="N58" s="943"/>
      <c r="O58" s="943"/>
    </row>
    <row r="59" spans="1:15" s="691" customFormat="1">
      <c r="A59" s="692" t="s">
        <v>2751</v>
      </c>
      <c r="B59" s="261">
        <f t="shared" si="17"/>
        <v>2107</v>
      </c>
      <c r="C59" s="199">
        <f t="shared" si="16"/>
        <v>0.2</v>
      </c>
      <c r="D59" s="1166">
        <v>0.25</v>
      </c>
      <c r="E59" s="693"/>
      <c r="F59" s="1105">
        <f t="shared" si="15"/>
        <v>0</v>
      </c>
      <c r="G59" s="3335"/>
      <c r="H59" s="1106" t="str">
        <f>项目基本情况!B37</f>
        <v>八级</v>
      </c>
      <c r="I59" s="1110">
        <f>SUMIF(修正!A45:A56,H59,修正!D45:D56)</f>
        <v>0.2</v>
      </c>
      <c r="J59" s="1114"/>
      <c r="K59" s="1146"/>
      <c r="L59" s="943"/>
      <c r="M59" s="943"/>
      <c r="N59" s="943"/>
      <c r="O59" s="943"/>
    </row>
    <row r="60" spans="1:15" s="691" customFormat="1">
      <c r="A60" s="692" t="s">
        <v>2752</v>
      </c>
      <c r="B60" s="261">
        <f t="shared" si="17"/>
        <v>2107</v>
      </c>
      <c r="C60" s="199">
        <f t="shared" si="16"/>
        <v>0.2</v>
      </c>
      <c r="D60" s="1166">
        <v>0.25</v>
      </c>
      <c r="E60" s="693"/>
      <c r="F60" s="1105">
        <f t="shared" si="15"/>
        <v>0</v>
      </c>
      <c r="G60" s="3335"/>
      <c r="H60" s="1106" t="str">
        <f>项目基本情况!B37</f>
        <v>八级</v>
      </c>
      <c r="I60" s="1110">
        <f>SUMIF(修正!A45:A56,H60,修正!E45:E56)</f>
        <v>0.2</v>
      </c>
      <c r="J60" s="1114"/>
      <c r="K60" s="1147"/>
      <c r="L60" s="943"/>
      <c r="M60" s="943"/>
      <c r="N60" s="943"/>
      <c r="O60" s="943"/>
    </row>
    <row r="61" spans="1:15" s="691" customFormat="1">
      <c r="A61" s="692" t="s">
        <v>2753</v>
      </c>
      <c r="B61" s="261">
        <f t="shared" si="17"/>
        <v>2107</v>
      </c>
      <c r="C61" s="199">
        <f t="shared" si="16"/>
        <v>0.2</v>
      </c>
      <c r="D61" s="1166">
        <v>0.25</v>
      </c>
      <c r="E61" s="260">
        <f>'数据-汇总表'!E11</f>
        <v>50</v>
      </c>
      <c r="F61" s="1105">
        <f t="shared" si="15"/>
        <v>11</v>
      </c>
      <c r="G61" s="2708" t="s">
        <v>2754</v>
      </c>
      <c r="H61" s="1106" t="str">
        <f>项目基本情况!C37</f>
        <v>八级</v>
      </c>
      <c r="I61" s="1110">
        <f>SUMIF(修正!A45:A56,H61,修正!F45:F56)</f>
        <v>0.2</v>
      </c>
      <c r="J61" s="1114"/>
      <c r="K61" s="1146"/>
      <c r="L61" s="943"/>
      <c r="M61" s="943"/>
      <c r="N61" s="943"/>
      <c r="O61" s="943"/>
    </row>
    <row r="62" spans="1:15" s="691" customFormat="1">
      <c r="A62" s="692" t="s">
        <v>2755</v>
      </c>
      <c r="B62" s="261">
        <f t="shared" si="17"/>
        <v>2107</v>
      </c>
      <c r="C62" s="199">
        <f t="shared" si="16"/>
        <v>0.2</v>
      </c>
      <c r="D62" s="1166">
        <v>0.25</v>
      </c>
      <c r="E62" s="260">
        <f>'数据-汇总表'!E12</f>
        <v>89424.37</v>
      </c>
      <c r="F62" s="1105">
        <f t="shared" si="15"/>
        <v>18842</v>
      </c>
      <c r="G62" s="1111" t="s">
        <v>2756</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2757</v>
      </c>
      <c r="B63" s="261">
        <f t="shared" si="17"/>
        <v>1580</v>
      </c>
      <c r="C63" s="199">
        <f t="shared" si="16"/>
        <v>0.15</v>
      </c>
      <c r="D63" s="1166">
        <v>0.25</v>
      </c>
      <c r="E63" s="260">
        <f>'数据-汇总表'!E13</f>
        <v>36043.919999999998</v>
      </c>
      <c r="F63" s="1105">
        <f t="shared" si="15"/>
        <v>5695</v>
      </c>
      <c r="G63" s="1111" t="s">
        <v>2758</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2759</v>
      </c>
      <c r="B64" s="261">
        <f t="shared" si="17"/>
        <v>1580</v>
      </c>
      <c r="C64" s="199">
        <f t="shared" si="16"/>
        <v>0.15</v>
      </c>
      <c r="D64" s="1166">
        <v>0.25</v>
      </c>
      <c r="E64" s="260">
        <f>'数据-汇总表'!E14</f>
        <v>0</v>
      </c>
      <c r="F64" s="1105">
        <f t="shared" si="15"/>
        <v>0</v>
      </c>
      <c r="G64" s="2708" t="s">
        <v>2749</v>
      </c>
      <c r="H64" s="1106" t="str">
        <f>项目基本情况!B37</f>
        <v>八级</v>
      </c>
      <c r="I64" s="1110">
        <f>SUMIF(修正!A45:A56,H64,修正!H45:H56)</f>
        <v>0.15</v>
      </c>
      <c r="J64" s="1114"/>
      <c r="K64" s="1147"/>
      <c r="L64" s="943"/>
      <c r="M64" s="943"/>
      <c r="N64" s="943"/>
      <c r="O64" s="943"/>
    </row>
    <row r="65" spans="1:17" s="691" customFormat="1" ht="15" thickBot="1">
      <c r="A65" s="692" t="s">
        <v>2760</v>
      </c>
      <c r="B65" s="261">
        <f t="shared" si="17"/>
        <v>1580</v>
      </c>
      <c r="C65" s="199">
        <f t="shared" si="16"/>
        <v>0.15</v>
      </c>
      <c r="D65" s="1166">
        <v>0.25</v>
      </c>
      <c r="E65" s="260">
        <f>'数据-汇总表'!E15</f>
        <v>0</v>
      </c>
      <c r="F65" s="1105">
        <f t="shared" si="15"/>
        <v>0</v>
      </c>
      <c r="G65" s="2709" t="s">
        <v>2754</v>
      </c>
      <c r="H65" s="1116" t="str">
        <f>项目基本情况!C37</f>
        <v>八级</v>
      </c>
      <c r="I65" s="1112">
        <f>SUMIF(修正!A45:A56,H65,修正!H45:H56)</f>
        <v>0.15</v>
      </c>
      <c r="J65" s="1115"/>
      <c r="K65" s="1146"/>
      <c r="L65" s="943"/>
      <c r="M65" s="943"/>
      <c r="N65" s="943"/>
      <c r="O65" s="943"/>
    </row>
    <row r="66" spans="1:17" s="691" customFormat="1" ht="13.5" thickBot="1">
      <c r="A66" s="694" t="s">
        <v>2761</v>
      </c>
      <c r="B66" s="695" t="s">
        <v>28</v>
      </c>
      <c r="C66" s="695" t="s">
        <v>29</v>
      </c>
      <c r="D66" s="695" t="s">
        <v>1026</v>
      </c>
      <c r="E66" s="695">
        <f>IF(B46="楼面地价",SUM(E56:E65),'数据-汇总表'!D3)</f>
        <v>212549.44</v>
      </c>
      <c r="F66" s="696">
        <f>IF(B46="楼面地价",SUM(F56:F65),ROUND(C48*E66/10000,0))</f>
        <v>390490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2655</v>
      </c>
      <c r="B69" s="758"/>
      <c r="C69" s="763"/>
      <c r="D69" s="763"/>
      <c r="E69" s="763"/>
      <c r="F69" s="764"/>
      <c r="G69" s="764"/>
      <c r="H69" s="763"/>
      <c r="I69" s="763"/>
      <c r="J69" s="1161"/>
      <c r="K69" s="1162"/>
      <c r="L69" s="1163"/>
      <c r="M69" s="1161"/>
      <c r="N69" s="1161"/>
      <c r="O69" s="1161"/>
      <c r="P69" s="502"/>
      <c r="Q69" s="503"/>
    </row>
    <row r="70" spans="1:17" s="507" customFormat="1" ht="15">
      <c r="A70" s="2710" t="s">
        <v>2762</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1" t="s">
        <v>2763</v>
      </c>
      <c r="B71" s="331" t="str">
        <f>"北京市平均增长率"&amp;TEXT(SUMIF(基准地价修正!N21:N25,A71,基准地价修正!P21:P25),"0.00%")</f>
        <v>北京市平均增长率2.41%</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5.75" thickBot="1">
      <c r="A72" s="514" t="s">
        <v>2566</v>
      </c>
      <c r="B72" s="515"/>
      <c r="C72" s="516">
        <v>0.5</v>
      </c>
      <c r="D72" s="517"/>
      <c r="E72" s="517"/>
      <c r="F72" s="517"/>
      <c r="G72" s="517"/>
      <c r="H72" s="517"/>
      <c r="I72" s="517"/>
      <c r="J72" s="517"/>
      <c r="K72" s="517"/>
      <c r="L72" s="517"/>
      <c r="M72" s="518"/>
      <c r="N72" s="517"/>
      <c r="O72" s="1164"/>
      <c r="P72" s="503"/>
      <c r="Q72" s="503"/>
    </row>
    <row r="73" spans="1:17" s="116" customFormat="1" ht="15">
      <c r="A73" s="520" t="s">
        <v>2531</v>
      </c>
      <c r="B73" s="509"/>
      <c r="C73" s="521" t="s">
        <v>2633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ht="27">
      <c r="A75" s="526" t="s">
        <v>2569</v>
      </c>
      <c r="B75" s="527" t="s">
        <v>2535</v>
      </c>
      <c r="C75" s="2979" t="s">
        <v>3288</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2538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2539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5"/>
      <c r="O79" s="1155"/>
      <c r="P79" s="45"/>
      <c r="Q79" s="503"/>
    </row>
    <row r="80" spans="1:17" ht="15">
      <c r="A80" s="533"/>
      <c r="B80" s="547"/>
      <c r="C80" s="548">
        <v>0</v>
      </c>
      <c r="D80" s="548">
        <v>1</v>
      </c>
      <c r="E80" s="548">
        <v>2</v>
      </c>
      <c r="F80" s="548">
        <v>3</v>
      </c>
      <c r="G80" s="548">
        <v>4</v>
      </c>
      <c r="H80" s="548">
        <v>5</v>
      </c>
      <c r="I80" s="548"/>
      <c r="J80" s="548"/>
      <c r="K80" s="549"/>
      <c r="L80" s="550"/>
      <c r="M80" s="551"/>
      <c r="N80" s="1154"/>
      <c r="O80" s="1154"/>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5"/>
      <c r="O81" s="1155"/>
      <c r="P81" s="45"/>
      <c r="Q81" s="503"/>
    </row>
    <row r="82" spans="1:17" s="470" customFormat="1" ht="15.75" thickTop="1">
      <c r="A82" s="552"/>
      <c r="B82" s="537" t="str">
        <f>B12</f>
        <v>配建</v>
      </c>
      <c r="C82" s="2980" t="s">
        <v>3289</v>
      </c>
      <c r="D82" s="2980" t="s">
        <v>3290</v>
      </c>
      <c r="E82" s="553"/>
      <c r="F82" s="553"/>
      <c r="G82" s="553"/>
      <c r="H82" s="554"/>
      <c r="I82" s="554"/>
      <c r="J82" s="554"/>
      <c r="K82" s="554"/>
      <c r="L82" s="555"/>
      <c r="M82" s="556"/>
      <c r="N82" s="1156"/>
      <c r="O82" s="1156"/>
      <c r="P82" s="557"/>
      <c r="Q82" s="558"/>
    </row>
    <row r="83" spans="1:17" s="470" customFormat="1" ht="15.75" thickBot="1">
      <c r="A83" s="552"/>
      <c r="B83" s="542"/>
      <c r="C83" s="559">
        <v>100</v>
      </c>
      <c r="D83" s="535">
        <v>95</v>
      </c>
      <c r="E83" s="535"/>
      <c r="F83" s="535"/>
      <c r="G83" s="535"/>
      <c r="H83" s="535"/>
      <c r="I83" s="535"/>
      <c r="J83" s="535"/>
      <c r="K83" s="535"/>
      <c r="L83" s="535"/>
      <c r="M83" s="536"/>
      <c r="N83" s="1155"/>
      <c r="O83" s="1155"/>
      <c r="P83" s="557"/>
      <c r="Q83" s="558"/>
    </row>
    <row r="84" spans="1:17" s="470" customFormat="1" ht="15.75" thickTop="1">
      <c r="A84" s="552"/>
      <c r="B84" s="537" t="str">
        <f>B13</f>
        <v>自持</v>
      </c>
      <c r="C84" s="2980" t="s">
        <v>3289</v>
      </c>
      <c r="D84" s="2980" t="s">
        <v>3291</v>
      </c>
      <c r="E84" s="553"/>
      <c r="F84" s="553"/>
      <c r="G84" s="553"/>
      <c r="H84" s="554"/>
      <c r="I84" s="554"/>
      <c r="J84" s="554"/>
      <c r="K84" s="554"/>
      <c r="L84" s="555"/>
      <c r="M84" s="556"/>
      <c r="N84" s="1156"/>
      <c r="O84" s="1156"/>
      <c r="P84" s="469"/>
      <c r="Q84" s="560"/>
    </row>
    <row r="85" spans="1:17" s="470" customFormat="1" ht="15.75" thickBot="1">
      <c r="A85" s="552"/>
      <c r="B85" s="542"/>
      <c r="C85" s="559">
        <v>100</v>
      </c>
      <c r="D85" s="559">
        <v>95</v>
      </c>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2540</v>
      </c>
      <c r="B88" s="527" t="s">
        <v>2577</v>
      </c>
      <c r="C88" s="572" t="s">
        <v>2578</v>
      </c>
      <c r="D88" s="572" t="s">
        <v>2579</v>
      </c>
      <c r="E88" s="572" t="s">
        <v>2580</v>
      </c>
      <c r="F88" s="572" t="s">
        <v>2581</v>
      </c>
      <c r="G88" s="572" t="s">
        <v>2582</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2764</v>
      </c>
      <c r="C90" s="577" t="s">
        <v>2578</v>
      </c>
      <c r="D90" s="577" t="s">
        <v>2579</v>
      </c>
      <c r="E90" s="577" t="s">
        <v>2580</v>
      </c>
      <c r="F90" s="577" t="s">
        <v>2581</v>
      </c>
      <c r="G90" s="577" t="s">
        <v>2582</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2678</v>
      </c>
      <c r="C92" s="577" t="s">
        <v>2578</v>
      </c>
      <c r="D92" s="577" t="s">
        <v>2579</v>
      </c>
      <c r="E92" s="577" t="s">
        <v>2580</v>
      </c>
      <c r="F92" s="577" t="s">
        <v>2581</v>
      </c>
      <c r="G92" s="577" t="s">
        <v>2582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2583</v>
      </c>
      <c r="C94" s="577" t="s">
        <v>2578</v>
      </c>
      <c r="D94" s="577" t="s">
        <v>2579</v>
      </c>
      <c r="E94" s="577" t="s">
        <v>2580</v>
      </c>
      <c r="F94" s="577" t="s">
        <v>2581</v>
      </c>
      <c r="G94" s="577" t="s">
        <v>2582</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2765</v>
      </c>
      <c r="C96" s="577" t="s">
        <v>2578</v>
      </c>
      <c r="D96" s="577" t="s">
        <v>2579</v>
      </c>
      <c r="E96" s="577" t="s">
        <v>2580</v>
      </c>
      <c r="F96" s="577" t="s">
        <v>2581</v>
      </c>
      <c r="G96" s="577" t="s">
        <v>2582</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2766</v>
      </c>
      <c r="C98" s="572" t="s">
        <v>2578</v>
      </c>
      <c r="D98" s="572" t="s">
        <v>2579</v>
      </c>
      <c r="E98" s="572" t="s">
        <v>2580</v>
      </c>
      <c r="F98" s="572" t="s">
        <v>2581</v>
      </c>
      <c r="G98" s="572" t="s">
        <v>2582</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2635</v>
      </c>
      <c r="C100" s="572" t="s">
        <v>2578</v>
      </c>
      <c r="D100" s="572" t="s">
        <v>2579</v>
      </c>
      <c r="E100" s="572" t="s">
        <v>2580</v>
      </c>
      <c r="F100" s="572" t="s">
        <v>2581</v>
      </c>
      <c r="G100" s="572" t="s">
        <v>2582</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2636</v>
      </c>
      <c r="C102" s="659" t="s">
        <v>2656</v>
      </c>
      <c r="D102" s="659" t="s">
        <v>2657</v>
      </c>
      <c r="E102" s="659" t="s">
        <v>2658</v>
      </c>
      <c r="F102" s="659" t="s">
        <v>2659</v>
      </c>
      <c r="G102" s="659" t="s">
        <v>2660</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2767</v>
      </c>
      <c r="D104" s="538" t="s">
        <v>2768</v>
      </c>
      <c r="E104" s="538" t="s">
        <v>2769</v>
      </c>
      <c r="F104" s="538" t="s">
        <v>2770</v>
      </c>
      <c r="G104" s="538"/>
      <c r="H104" s="538"/>
      <c r="I104" s="538"/>
      <c r="J104" s="538"/>
      <c r="K104" s="539"/>
      <c r="L104" s="540"/>
      <c r="M104" s="541"/>
      <c r="N104" s="1154"/>
      <c r="O104" s="1154"/>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5"/>
      <c r="O105" s="1155"/>
      <c r="P105" s="45"/>
      <c r="Q105" s="503"/>
    </row>
    <row r="106" spans="1:17" ht="27.75" thickTop="1">
      <c r="A106" s="533"/>
      <c r="B106" s="537" t="s">
        <v>2672</v>
      </c>
      <c r="C106" s="2980" t="s">
        <v>3295</v>
      </c>
      <c r="D106" s="2980" t="s">
        <v>3296</v>
      </c>
      <c r="E106" s="2980" t="s">
        <v>3297</v>
      </c>
      <c r="F106" s="2980" t="s">
        <v>3299</v>
      </c>
      <c r="G106" s="2980" t="s">
        <v>3301</v>
      </c>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55"/>
      <c r="O107" s="1155"/>
      <c r="P107" s="45"/>
      <c r="Q107" s="503"/>
    </row>
    <row r="108" spans="1:17" ht="15" hidden="1" customHeight="1" thickTop="1">
      <c r="A108" s="533"/>
      <c r="B108" s="537" t="s">
        <v>2731</v>
      </c>
      <c r="C108" s="582"/>
      <c r="D108" s="582"/>
      <c r="E108" s="582"/>
      <c r="F108" s="582"/>
      <c r="G108" s="582"/>
      <c r="H108" s="582"/>
      <c r="I108" s="582"/>
      <c r="J108" s="582"/>
      <c r="K108" s="583"/>
      <c r="L108" s="584"/>
      <c r="M108" s="585"/>
      <c r="N108" s="1154"/>
      <c r="O108" s="1154"/>
      <c r="P108" s="45"/>
      <c r="Q108" s="503"/>
    </row>
    <row r="109" spans="1:17" ht="15.75" hidden="1"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hidden="1" thickTop="1">
      <c r="A110" s="533"/>
      <c r="B110" s="545">
        <f>B35</f>
        <v>111</v>
      </c>
      <c r="C110" s="553"/>
      <c r="D110" s="553"/>
      <c r="E110" s="553"/>
      <c r="F110" s="553"/>
      <c r="G110" s="586"/>
      <c r="H110" s="586"/>
      <c r="I110" s="586"/>
      <c r="J110" s="586"/>
      <c r="K110" s="587"/>
      <c r="L110" s="588"/>
      <c r="M110" s="589"/>
      <c r="N110" s="1154"/>
      <c r="O110" s="1154"/>
      <c r="P110" s="45"/>
      <c r="Q110" s="503"/>
    </row>
    <row r="111" spans="1:17" ht="15.75" hidden="1" thickBot="1">
      <c r="A111" s="533"/>
      <c r="B111" s="568"/>
      <c r="C111" s="559"/>
      <c r="D111" s="559"/>
      <c r="E111" s="559"/>
      <c r="F111" s="559"/>
      <c r="G111" s="590"/>
      <c r="H111" s="590"/>
      <c r="I111" s="590"/>
      <c r="J111" s="590"/>
      <c r="K111" s="590"/>
      <c r="L111" s="590"/>
      <c r="M111" s="591"/>
      <c r="N111" s="1155"/>
      <c r="O111" s="1155"/>
      <c r="P111" s="45"/>
      <c r="Q111" s="503"/>
    </row>
    <row r="112" spans="1:17" ht="15" hidden="1" thickTop="1">
      <c r="A112" s="674"/>
      <c r="B112" s="537">
        <f>B36</f>
        <v>111</v>
      </c>
      <c r="C112" s="522"/>
      <c r="D112" s="522"/>
      <c r="E112" s="522"/>
      <c r="F112" s="522"/>
      <c r="G112" s="582"/>
      <c r="H112" s="582"/>
      <c r="I112" s="582"/>
      <c r="J112" s="582"/>
      <c r="K112" s="583"/>
      <c r="L112" s="584"/>
      <c r="M112" s="585"/>
      <c r="N112" s="1154"/>
      <c r="O112" s="1154"/>
      <c r="P112" s="45"/>
      <c r="Q112" s="503"/>
    </row>
    <row r="113" spans="1:17" ht="15.75" hidden="1" thickBot="1">
      <c r="A113" s="533"/>
      <c r="B113" s="542"/>
      <c r="C113" s="569"/>
      <c r="D113" s="569"/>
      <c r="E113" s="569"/>
      <c r="F113" s="569"/>
      <c r="G113" s="535"/>
      <c r="H113" s="535"/>
      <c r="I113" s="535"/>
      <c r="J113" s="535"/>
      <c r="K113" s="535"/>
      <c r="L113" s="535"/>
      <c r="M113" s="536"/>
      <c r="N113" s="1155"/>
      <c r="O113" s="1155"/>
      <c r="P113" s="45"/>
      <c r="Q113" s="503"/>
    </row>
    <row r="114" spans="1:17" s="470" customFormat="1" ht="15" hidden="1"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hidden="1" thickBot="1">
      <c r="A115" s="552"/>
      <c r="B115" s="545"/>
      <c r="C115" s="511"/>
      <c r="D115" s="676"/>
      <c r="E115" s="676"/>
      <c r="F115" s="676"/>
      <c r="G115" s="676"/>
      <c r="H115" s="676"/>
      <c r="I115" s="676"/>
      <c r="J115" s="676"/>
      <c r="K115" s="676"/>
      <c r="L115" s="676"/>
      <c r="M115" s="698"/>
      <c r="N115" s="1155"/>
      <c r="O115" s="1155"/>
      <c r="P115" s="557"/>
      <c r="Q115" s="558"/>
    </row>
    <row r="116" spans="1:17" ht="29.25" thickTop="1">
      <c r="A116" s="526" t="s">
        <v>2544</v>
      </c>
      <c r="B116" s="527" t="s">
        <v>2771</v>
      </c>
      <c r="C116" s="528" t="str">
        <f>C117&amp;"(含)"&amp;"-"&amp;D117</f>
        <v>0(含)-20000</v>
      </c>
      <c r="D116" s="528" t="str">
        <f t="shared" ref="D116:M116" si="26">D117&amp;"(含)"&amp;"-"&amp;E117</f>
        <v>20000(含)-50000</v>
      </c>
      <c r="E116" s="528" t="str">
        <f t="shared" si="26"/>
        <v>50000(含)-100000</v>
      </c>
      <c r="F116" s="528" t="str">
        <f t="shared" si="26"/>
        <v>100000(含)-150000</v>
      </c>
      <c r="G116" s="528" t="str">
        <f t="shared" si="26"/>
        <v>150000(含)-</v>
      </c>
      <c r="H116" s="528" t="str">
        <f t="shared" si="26"/>
        <v>(含)-</v>
      </c>
      <c r="I116" s="528" t="str">
        <f t="shared" si="26"/>
        <v>(含)-</v>
      </c>
      <c r="J116" s="528" t="str">
        <f t="shared" si="26"/>
        <v>(含)-</v>
      </c>
      <c r="K116" s="528" t="str">
        <f t="shared" si="26"/>
        <v>(含)-</v>
      </c>
      <c r="L116" s="528" t="str">
        <f t="shared" si="26"/>
        <v>(含)-</v>
      </c>
      <c r="M116" s="528" t="str">
        <f t="shared" si="26"/>
        <v>(含)-</v>
      </c>
      <c r="N116" s="1154"/>
      <c r="O116" s="1154"/>
      <c r="P116" s="45"/>
      <c r="Q116" s="503"/>
    </row>
    <row r="117" spans="1:17" ht="15">
      <c r="A117" s="533"/>
      <c r="B117" s="545"/>
      <c r="C117" s="594">
        <v>0</v>
      </c>
      <c r="D117" s="594">
        <v>20000</v>
      </c>
      <c r="E117" s="594">
        <v>50000</v>
      </c>
      <c r="F117" s="594">
        <v>100000</v>
      </c>
      <c r="G117" s="594">
        <v>150000</v>
      </c>
      <c r="H117" s="594"/>
      <c r="I117" s="594"/>
      <c r="J117" s="595"/>
      <c r="K117" s="595"/>
      <c r="L117" s="596"/>
      <c r="M117" s="597"/>
      <c r="N117" s="1154"/>
      <c r="O117" s="1154"/>
      <c r="P117" s="45"/>
      <c r="Q117" s="503"/>
    </row>
    <row r="118" spans="1:17" ht="15.75" thickBot="1">
      <c r="A118" s="533"/>
      <c r="B118" s="542"/>
      <c r="C118" s="569">
        <v>100</v>
      </c>
      <c r="D118" s="590">
        <v>102</v>
      </c>
      <c r="E118" s="590">
        <v>104</v>
      </c>
      <c r="F118" s="590">
        <v>106</v>
      </c>
      <c r="G118" s="590">
        <v>108</v>
      </c>
      <c r="H118" s="590"/>
      <c r="I118" s="590"/>
      <c r="J118" s="590"/>
      <c r="K118" s="590"/>
      <c r="L118" s="590"/>
      <c r="M118" s="591"/>
      <c r="N118" s="1155"/>
      <c r="O118" s="1155"/>
      <c r="P118" s="45"/>
      <c r="Q118" s="503"/>
    </row>
    <row r="119" spans="1:17" ht="15" thickTop="1">
      <c r="A119" s="598"/>
      <c r="B119" s="537" t="s">
        <v>2772</v>
      </c>
      <c r="C119" s="2988" t="s">
        <v>3303</v>
      </c>
      <c r="D119" s="2988" t="s">
        <v>3305</v>
      </c>
      <c r="E119" s="2988" t="s">
        <v>3307</v>
      </c>
      <c r="F119" s="2988" t="s">
        <v>3308</v>
      </c>
      <c r="G119" s="582"/>
      <c r="H119" s="582"/>
      <c r="I119" s="582"/>
      <c r="J119" s="582"/>
      <c r="K119" s="583"/>
      <c r="L119" s="584"/>
      <c r="M119" s="585"/>
      <c r="N119" s="1154"/>
      <c r="O119" s="1154"/>
      <c r="P119" s="45"/>
      <c r="Q119" s="503"/>
    </row>
    <row r="120" spans="1:17" ht="15.75" thickBot="1">
      <c r="A120" s="533"/>
      <c r="B120" s="542"/>
      <c r="C120" s="543">
        <v>100</v>
      </c>
      <c r="D120" s="543">
        <f t="shared" ref="D120:M120" si="27">C120-$K39</f>
        <v>97</v>
      </c>
      <c r="E120" s="543">
        <f t="shared" si="27"/>
        <v>94</v>
      </c>
      <c r="F120" s="543">
        <f t="shared" si="27"/>
        <v>91</v>
      </c>
      <c r="G120" s="543">
        <f t="shared" si="27"/>
        <v>88</v>
      </c>
      <c r="H120" s="543">
        <f t="shared" si="27"/>
        <v>85</v>
      </c>
      <c r="I120" s="543">
        <f t="shared" si="27"/>
        <v>82</v>
      </c>
      <c r="J120" s="543">
        <f t="shared" si="27"/>
        <v>79</v>
      </c>
      <c r="K120" s="543">
        <f t="shared" si="27"/>
        <v>76</v>
      </c>
      <c r="L120" s="543">
        <f t="shared" si="27"/>
        <v>73</v>
      </c>
      <c r="M120" s="544">
        <f t="shared" si="27"/>
        <v>70</v>
      </c>
      <c r="N120" s="1155"/>
      <c r="O120" s="1155"/>
      <c r="P120" s="45"/>
      <c r="Q120" s="503"/>
    </row>
    <row r="121" spans="1:17" ht="15" thickTop="1">
      <c r="A121" s="598"/>
      <c r="B121" s="537" t="s">
        <v>2773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5"/>
      <c r="O122" s="1155"/>
      <c r="P122" s="45"/>
      <c r="Q122" s="503"/>
    </row>
    <row r="123" spans="1:17" s="470" customFormat="1" ht="15" thickTop="1">
      <c r="A123" s="592"/>
      <c r="B123" s="537" t="s">
        <v>2774</v>
      </c>
      <c r="C123" s="2980" t="s">
        <v>3309</v>
      </c>
      <c r="D123" s="2980" t="s">
        <v>3311</v>
      </c>
      <c r="E123" s="2980" t="s">
        <v>3312</v>
      </c>
      <c r="F123" s="2980" t="s">
        <v>3313</v>
      </c>
      <c r="G123" s="2980" t="s">
        <v>3315</v>
      </c>
      <c r="H123" s="2988" t="s">
        <v>3321</v>
      </c>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6"/>
      <c r="O124" s="1156"/>
      <c r="P124" s="557"/>
      <c r="Q124" s="558"/>
    </row>
    <row r="125" spans="1:17" ht="15" thickTop="1">
      <c r="A125" s="598"/>
      <c r="B125" s="537" t="s">
        <v>2775</v>
      </c>
      <c r="C125" s="2980" t="s">
        <v>3317</v>
      </c>
      <c r="D125" s="2980" t="s">
        <v>3318</v>
      </c>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7" sqref="I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2443</v>
      </c>
      <c r="B1" s="1582"/>
      <c r="C1" s="1583"/>
      <c r="D1" s="1581"/>
      <c r="E1" s="319"/>
      <c r="F1" s="319"/>
      <c r="G1" s="1582"/>
      <c r="H1" s="319"/>
      <c r="I1" s="319"/>
      <c r="J1" s="319"/>
      <c r="K1" s="319">
        <f>MATCH(C1,'数据-取费表'!A6:A16,0)+5</f>
        <v>13</v>
      </c>
    </row>
    <row r="2" spans="1:33" ht="18" customHeight="1">
      <c r="A2" s="244" t="s">
        <v>2311</v>
      </c>
      <c r="B2" s="247">
        <f ca="1">C32</f>
        <v>483597</v>
      </c>
      <c r="C2" s="319" t="s">
        <v>2444</v>
      </c>
      <c r="D2" s="319"/>
      <c r="E2" s="319"/>
      <c r="F2" s="319"/>
      <c r="G2" s="319"/>
      <c r="H2" s="319"/>
      <c r="I2" s="319"/>
      <c r="J2" s="319"/>
      <c r="K2" s="319"/>
    </row>
    <row r="3" spans="1:33" ht="18" customHeight="1" thickBot="1">
      <c r="A3" s="246" t="s">
        <v>2313</v>
      </c>
      <c r="B3" s="247">
        <f ca="1">ROUND(B2*10000/IF(C1="",'数据-汇总表'!E3,INDIRECT("'数据-取费表'!K"&amp;$K$1)),0)</f>
        <v>22066</v>
      </c>
      <c r="C3" s="319" t="s">
        <v>2445</v>
      </c>
      <c r="D3" s="319"/>
      <c r="E3" s="319"/>
      <c r="F3" s="319"/>
      <c r="G3" s="319"/>
      <c r="H3" s="319"/>
      <c r="I3" s="319"/>
      <c r="J3" s="319"/>
      <c r="K3" s="319"/>
    </row>
    <row r="4" spans="1:33" s="958" customFormat="1" ht="16.5" customHeight="1">
      <c r="A4" s="955" t="s">
        <v>2446</v>
      </c>
      <c r="B4" s="956"/>
      <c r="C4" s="998">
        <f ca="1">SUM(C8:K8)</f>
        <v>687572</v>
      </c>
      <c r="D4" s="956"/>
      <c r="E4" s="956"/>
      <c r="F4" s="956"/>
      <c r="G4" s="956"/>
      <c r="H4" s="956"/>
      <c r="I4" s="956"/>
      <c r="J4" s="956"/>
      <c r="K4" s="957"/>
    </row>
    <row r="5" spans="1:33" s="962" customFormat="1" ht="25.5">
      <c r="A5" s="959" t="s">
        <v>2447</v>
      </c>
      <c r="B5" s="960" t="s">
        <v>2448</v>
      </c>
      <c r="C5" s="2553" t="s">
        <v>3052</v>
      </c>
      <c r="D5" s="2553" t="s">
        <v>3214</v>
      </c>
      <c r="E5" s="2553" t="s">
        <v>3175</v>
      </c>
      <c r="F5" s="2553" t="s">
        <v>1373</v>
      </c>
      <c r="G5" s="2553" t="s">
        <v>48</v>
      </c>
      <c r="H5" s="2553" t="s">
        <v>3078</v>
      </c>
      <c r="I5" s="2553" t="s">
        <v>3215</v>
      </c>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2449</v>
      </c>
      <c r="C6" s="964">
        <v>60508</v>
      </c>
      <c r="D6" s="964">
        <f>C6</f>
        <v>60508</v>
      </c>
      <c r="E6" s="964">
        <f ca="1">收益法!B3</f>
        <v>25738</v>
      </c>
      <c r="F6" s="117">
        <f ca="1">'收益法 (商业)'!B3</f>
        <v>23521</v>
      </c>
      <c r="G6" s="964">
        <f ca="1">'收益法 (地下车库)'!B3</f>
        <v>6286</v>
      </c>
      <c r="H6" s="964">
        <f ca="1">'收益法 (仓储)'!B3</f>
        <v>10273</v>
      </c>
      <c r="I6" s="964">
        <f>D6/2</f>
        <v>30254</v>
      </c>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2450</v>
      </c>
      <c r="B7" s="139" t="s">
        <v>2451</v>
      </c>
      <c r="C7" s="320">
        <f>SUMIF('数据-汇总表'!$C19:$C33,假设开发法!C5,'数据-汇总表'!$E19:$E33)</f>
        <v>44026.80999999999</v>
      </c>
      <c r="D7" s="320">
        <f>SUMIF('数据-汇总表'!$C19:$C33,假设开发法!D5,'数据-汇总表'!$E19:$E33)</f>
        <v>10848.240000000013</v>
      </c>
      <c r="E7" s="320">
        <f>SUMIF('数据-汇总表'!$C19:$C33,假设开发法!E5,'数据-汇总表'!$E19:$E33)</f>
        <v>31676.1</v>
      </c>
      <c r="F7" s="320">
        <f>SUMIF('数据-汇总表'!$C19:$C33,假设开发法!F5,'数据-汇总表'!$E19:$E33)</f>
        <v>480</v>
      </c>
      <c r="G7" s="320">
        <f>SUMIF('数据-汇总表'!$C19:$C33,假设开发法!G5,'数据-汇总表'!$E19:$E33)</f>
        <v>36043.919999999998</v>
      </c>
      <c r="H7" s="320">
        <f>SUMIF('数据-汇总表'!$C19:$C33,假设开发法!H5,'数据-汇总表'!$E19:$E33)</f>
        <v>10172.129999999999</v>
      </c>
      <c r="I7" s="320">
        <f>SUMIF('数据-汇总表'!$C19:$C33,假设开发法!I5,'数据-汇总表'!$E19:$E33)</f>
        <v>79252.239999999991</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2452</v>
      </c>
      <c r="B8" s="176" t="s">
        <v>2453</v>
      </c>
      <c r="C8" s="999">
        <f>ROUND(C6*C7/10000,0)</f>
        <v>266397</v>
      </c>
      <c r="D8" s="999">
        <f>ROUND(D6*D7/10000,0)</f>
        <v>65641</v>
      </c>
      <c r="E8" s="999">
        <f ca="1">收益法!B2</f>
        <v>81527</v>
      </c>
      <c r="F8" s="1000">
        <f ca="1">'收益法 (商业)'!B2</f>
        <v>1129</v>
      </c>
      <c r="G8" s="1000">
        <f ca="1">'收益法 (地下车库)'!B2</f>
        <v>22658</v>
      </c>
      <c r="H8" s="1000">
        <f ca="1">'收益法 (仓储)'!B2</f>
        <v>10450</v>
      </c>
      <c r="I8" s="999">
        <f>ROUND(I6*I7/10000,0)</f>
        <v>239770</v>
      </c>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2454</v>
      </c>
      <c r="B9" s="956"/>
      <c r="C9" s="956"/>
      <c r="D9" s="956"/>
      <c r="E9" s="956"/>
      <c r="F9" s="956"/>
      <c r="G9" s="956"/>
      <c r="H9" s="956"/>
      <c r="I9" s="956"/>
      <c r="J9" s="956"/>
      <c r="K9" s="957"/>
    </row>
    <row r="10" spans="1:33" s="972" customFormat="1" ht="13.5" customHeight="1">
      <c r="A10" s="959" t="s">
        <v>2455</v>
      </c>
      <c r="B10" s="8" t="s">
        <v>2456</v>
      </c>
      <c r="C10" s="968" t="s">
        <v>2457</v>
      </c>
      <c r="D10" s="969" t="s">
        <v>2458</v>
      </c>
      <c r="E10" s="969" t="s">
        <v>2459</v>
      </c>
      <c r="F10" s="969" t="s">
        <v>2460</v>
      </c>
      <c r="G10" s="8"/>
      <c r="H10" s="970"/>
      <c r="I10" s="970"/>
      <c r="J10" s="970"/>
      <c r="K10" s="971"/>
    </row>
    <row r="11" spans="1:33" s="977" customFormat="1" ht="13.5" customHeight="1">
      <c r="A11" s="973" t="s">
        <v>1330</v>
      </c>
      <c r="B11" s="974" t="s">
        <v>2461</v>
      </c>
      <c r="C11" s="322">
        <f ca="1">IF(C1="",'数据-取费表'!P16,INDIRECT("'数据-取费表'!p"&amp;$K$1)+INDIRECT("'数据-取费表'!ar"&amp;$K$1))</f>
        <v>53512</v>
      </c>
      <c r="D11" s="975"/>
      <c r="E11" s="374"/>
      <c r="F11" s="976">
        <f ca="1">1-IF('数据-取费表'!B24=0,1,IF(C1="",'数据-取费表'!N16,INDIRECT("'数据-取费表'!n"&amp;$K$1)))</f>
        <v>0.81</v>
      </c>
      <c r="G11" s="8"/>
      <c r="H11" s="970"/>
      <c r="I11" s="970"/>
      <c r="J11" s="970"/>
      <c r="K11" s="971"/>
    </row>
    <row r="12" spans="1:33" s="977" customFormat="1" ht="13.5" customHeight="1">
      <c r="A12" s="973" t="s">
        <v>1331</v>
      </c>
      <c r="B12" s="974" t="s">
        <v>2462</v>
      </c>
      <c r="C12" s="24">
        <f ca="1">ROUND(C11*F12,0)</f>
        <v>1605</v>
      </c>
      <c r="D12" s="975"/>
      <c r="E12" s="374"/>
      <c r="F12" s="978">
        <f>'数据-取费表'!B33</f>
        <v>0.03</v>
      </c>
      <c r="G12" s="8" t="s">
        <v>2463</v>
      </c>
      <c r="H12" s="970"/>
      <c r="I12" s="970"/>
      <c r="J12" s="970"/>
      <c r="K12" s="971"/>
    </row>
    <row r="13" spans="1:33" s="977" customFormat="1" ht="13.5" customHeight="1">
      <c r="A13" s="973" t="s">
        <v>1332</v>
      </c>
      <c r="B13" s="974" t="s">
        <v>2464</v>
      </c>
      <c r="C13" s="24">
        <f ca="1">ROUND(IF(C1="",SUMIF('数据-取费表'!C:C,"住宅",'数据-取费表'!P:P)*F13,IF(INDIRECT("'数据-取费表'!c"&amp;$K$1)="住宅",INDIRECT("'数据-取费表'!P"&amp;$K$1)*F13,0)),0)</f>
        <v>841</v>
      </c>
      <c r="D13" s="1035"/>
      <c r="E13" s="374"/>
      <c r="F13" s="978">
        <f>'数据-取费表'!B34</f>
        <v>0.03</v>
      </c>
      <c r="G13" s="8" t="s">
        <v>2465</v>
      </c>
      <c r="H13" s="970"/>
      <c r="I13" s="970"/>
      <c r="J13" s="970"/>
      <c r="K13" s="971"/>
    </row>
    <row r="14" spans="1:33" s="979" customFormat="1" ht="13.5" customHeight="1">
      <c r="A14" s="973" t="s">
        <v>1333</v>
      </c>
      <c r="B14" s="974" t="s">
        <v>2466</v>
      </c>
      <c r="C14" s="24">
        <f ca="1">ROUND(D14*E14*F11/10000,0)</f>
        <v>3550</v>
      </c>
      <c r="D14" s="1035">
        <f ca="1">IF(C1="",'数据-汇总表'!E3,INDIRECT("'数据-取费表'!K"&amp;$K$1)+INDIRECT("'数据-取费表'!S"&amp;$K$1))</f>
        <v>219161.38</v>
      </c>
      <c r="E14" s="24">
        <f>'数据-取费表'!B35</f>
        <v>200</v>
      </c>
      <c r="F14" s="978"/>
      <c r="G14" s="8" t="s">
        <v>2467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2468</v>
      </c>
      <c r="C15" s="985">
        <f ca="1">ROUND(C11*F15,0)</f>
        <v>803</v>
      </c>
      <c r="D15" s="980"/>
      <c r="E15" s="985"/>
      <c r="F15" s="986">
        <f>'数据-取费表'!B36</f>
        <v>1.4999999999999999E-2</v>
      </c>
      <c r="G15" s="139" t="s">
        <v>2469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2470</v>
      </c>
      <c r="C16" s="985">
        <f ca="1">SUM(C11:C15)</f>
        <v>60311</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2471</v>
      </c>
      <c r="C17" s="24">
        <f ca="1">ROUND(D17*E17/10000,0)</f>
        <v>2192</v>
      </c>
      <c r="D17" s="1035">
        <f ca="1">D14</f>
        <v>219161.38</v>
      </c>
      <c r="E17" s="24">
        <f>'数据-取费表'!B32</f>
        <v>100</v>
      </c>
      <c r="F17" s="980"/>
      <c r="G17" s="139" t="s">
        <v>2472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2473</v>
      </c>
      <c r="C18" s="24">
        <f ca="1">C19+C20-IF(C1="",'数据-取费表'!B29,IF(G18="已全部缴纳",C19+C20,H18))</f>
        <v>0</v>
      </c>
      <c r="D18" s="1035"/>
      <c r="E18" s="24"/>
      <c r="F18" s="978"/>
      <c r="G18" s="2555"/>
      <c r="H18" s="1578"/>
      <c r="I18" s="2556" t="s">
        <v>2474</v>
      </c>
      <c r="J18" s="981"/>
      <c r="K18" s="982"/>
    </row>
    <row r="19" spans="1:33" s="977" customFormat="1" ht="13.5" customHeight="1">
      <c r="A19" s="973" t="s">
        <v>805</v>
      </c>
      <c r="B19" s="974" t="s">
        <v>2475</v>
      </c>
      <c r="C19" s="24">
        <f ca="1">ROUND(D19*E19/10000,0)</f>
        <v>0</v>
      </c>
      <c r="D19" s="1035">
        <f ca="1">IF(C1="",'数据-汇总表'!E5,IF(INDIRECT("'数据-取费表'!c"&amp;$K$1)="住宅",INDIRECT("'数据-取费表'!k"&amp;$K$1),0))</f>
        <v>86551.15</v>
      </c>
      <c r="E19" s="24">
        <f>'数据-取费表'!B27</f>
        <v>0</v>
      </c>
      <c r="F19" s="978"/>
      <c r="G19" s="15"/>
      <c r="H19" s="1580"/>
      <c r="I19" s="983"/>
      <c r="J19" s="983"/>
      <c r="K19" s="984"/>
    </row>
    <row r="20" spans="1:33" s="977" customFormat="1" ht="13.5" customHeight="1">
      <c r="A20" s="973" t="s">
        <v>806</v>
      </c>
      <c r="B20" s="974" t="s">
        <v>2476</v>
      </c>
      <c r="C20" s="24">
        <f ca="1">ROUND(D20*E20/10000,0)</f>
        <v>0</v>
      </c>
      <c r="D20" s="1035">
        <f ca="1">IF(C1="",'数据-汇总表'!E6,IF(INDIRECT("'数据-取费表'!c"&amp;$K$1)="住宅",INDIRECT("'数据-取费表'!s"&amp;$K$1),INDIRECT("'数据-取费表'!k"&amp;$K$1)+INDIRECT("'数据-取费表'!s"&amp;$K$1)))</f>
        <v>132610.23000000001</v>
      </c>
      <c r="E20" s="24">
        <f>'数据-取费表'!B28</f>
        <v>0</v>
      </c>
      <c r="F20" s="978"/>
      <c r="G20" s="15"/>
      <c r="H20" s="983"/>
      <c r="I20" s="983"/>
      <c r="J20" s="983"/>
      <c r="K20" s="984"/>
    </row>
    <row r="21" spans="1:33" s="977" customFormat="1" ht="13.5" customHeight="1">
      <c r="A21" s="963" t="s">
        <v>802</v>
      </c>
      <c r="B21" s="987" t="s">
        <v>2477</v>
      </c>
      <c r="C21" s="988">
        <f ca="1">C16+C17+C18</f>
        <v>62503</v>
      </c>
      <c r="D21" s="989"/>
      <c r="E21" s="324"/>
      <c r="F21" s="324"/>
      <c r="G21" s="139" t="s">
        <v>2478</v>
      </c>
      <c r="H21" s="981"/>
      <c r="I21" s="981"/>
      <c r="J21" s="981"/>
      <c r="K21" s="982"/>
    </row>
    <row r="22" spans="1:33" s="977" customFormat="1" ht="13.5" customHeight="1">
      <c r="A22" s="963" t="s">
        <v>2450</v>
      </c>
      <c r="B22" s="987" t="s">
        <v>2479</v>
      </c>
      <c r="C22" s="988">
        <f ca="1">ROUND(C21*F22,0)</f>
        <v>1250</v>
      </c>
      <c r="D22" s="324"/>
      <c r="E22" s="324"/>
      <c r="F22" s="990">
        <f>'数据-取费表'!B37</f>
        <v>0.02</v>
      </c>
      <c r="G22" s="8" t="s">
        <v>2480</v>
      </c>
      <c r="H22" s="970"/>
      <c r="I22" s="970"/>
      <c r="J22" s="970"/>
      <c r="K22" s="971"/>
    </row>
    <row r="23" spans="1:33" s="977" customFormat="1" ht="13.5" customHeight="1">
      <c r="A23" s="963" t="s">
        <v>2452</v>
      </c>
      <c r="B23" s="987" t="s">
        <v>2481</v>
      </c>
      <c r="C23" s="988">
        <f ca="1">ROUND(C4*F23*F11,0)</f>
        <v>11139</v>
      </c>
      <c r="D23" s="324"/>
      <c r="E23" s="324"/>
      <c r="F23" s="990">
        <f>'数据-取费表'!B38</f>
        <v>0.02</v>
      </c>
      <c r="G23" s="8" t="s">
        <v>2482</v>
      </c>
      <c r="H23" s="970"/>
      <c r="I23" s="970"/>
      <c r="J23" s="970"/>
      <c r="K23" s="971"/>
    </row>
    <row r="24" spans="1:33" s="977" customFormat="1" ht="13.5" customHeight="1">
      <c r="A24" s="963" t="s">
        <v>2483</v>
      </c>
      <c r="B24" s="987" t="s">
        <v>2484</v>
      </c>
      <c r="C24" s="323">
        <f>ROUND(F24/(1+'数据-取费表'!C42),4)</f>
        <v>2.9000000000000001E-2</v>
      </c>
      <c r="D24" s="324" t="s">
        <v>15</v>
      </c>
      <c r="E24" s="324"/>
      <c r="F24" s="990">
        <f>'数据-取费表'!B48+'数据-取费表'!B49</f>
        <v>3.0499999999999999E-2</v>
      </c>
      <c r="G24" s="8" t="s">
        <v>2485</v>
      </c>
      <c r="H24" s="992"/>
      <c r="I24" s="992"/>
      <c r="J24" s="992"/>
      <c r="K24" s="993"/>
    </row>
    <row r="25" spans="1:33" s="977" customFormat="1" ht="13.5" customHeight="1">
      <c r="A25" s="963" t="s">
        <v>2486</v>
      </c>
      <c r="B25" s="989" t="s">
        <v>2487</v>
      </c>
      <c r="C25" s="1358">
        <f ca="1">C27</f>
        <v>2833</v>
      </c>
      <c r="D25" s="323">
        <f ca="1">C26</f>
        <v>7.9299999999999995E-2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2488</v>
      </c>
      <c r="C26" s="1359">
        <f ca="1">ROUND(IF('数据-取费表'!B22&lt;=1,(1+C24)*F25*'数据-取费表'!B24,(1+C24)*(POWER((1+F25),'数据-取费表'!B24)-1)),4)</f>
        <v>7.9299999999999995E-2</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2489</v>
      </c>
      <c r="C27" s="1360">
        <f ca="1">ROUND(IF('数据-取费表'!B22&lt;=1,(C21+C22+C23)*F25*'数据-取费表'!B24/2,(C21+C22+C23)*(POWER((1+F25),'数据-取费表'!B24/2)-1)),0)</f>
        <v>2833</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2490</v>
      </c>
      <c r="B28" s="2558" t="s">
        <v>2491</v>
      </c>
      <c r="C28" s="330">
        <f ca="1">C30</f>
        <v>5991</v>
      </c>
      <c r="D28" s="323">
        <f ca="1">C29</f>
        <v>6.59E-2</v>
      </c>
      <c r="E28" s="325" t="s">
        <v>15</v>
      </c>
      <c r="F28" s="331">
        <f ca="1">IF(C1="",'数据-取费表'!Q16,INDIRECT("'数据-取费表'!q"&amp;$K$1))</f>
        <v>0.08</v>
      </c>
      <c r="G28" s="991"/>
      <c r="H28" s="992"/>
      <c r="I28" s="992"/>
      <c r="J28" s="992"/>
      <c r="K28" s="993"/>
    </row>
    <row r="29" spans="1:33" s="334" customFormat="1" ht="13.5" customHeight="1">
      <c r="A29" s="973" t="s">
        <v>803</v>
      </c>
      <c r="B29" s="996" t="s">
        <v>2492</v>
      </c>
      <c r="C29" s="327">
        <f ca="1">ROUND((1+C24)*F28*'数据-取费表'!B24/'数据-取费表'!B20,4)</f>
        <v>6.59E-2</v>
      </c>
      <c r="D29" s="327"/>
      <c r="E29" s="328"/>
      <c r="F29" s="333"/>
      <c r="G29" s="139" t="s">
        <v>2493</v>
      </c>
      <c r="H29" s="981"/>
      <c r="I29" s="981"/>
      <c r="J29" s="981"/>
      <c r="K29" s="982"/>
    </row>
    <row r="30" spans="1:33" s="334" customFormat="1" ht="13.5" customHeight="1">
      <c r="A30" s="973" t="s">
        <v>804</v>
      </c>
      <c r="B30" s="996" t="s">
        <v>2494</v>
      </c>
      <c r="C30" s="335">
        <f ca="1">ROUND((C21+C22+C23)*F28,0)</f>
        <v>5991</v>
      </c>
      <c r="D30" s="327"/>
      <c r="E30" s="328"/>
      <c r="F30" s="333"/>
      <c r="G30" s="139"/>
      <c r="H30" s="981"/>
      <c r="I30" s="981"/>
      <c r="J30" s="981"/>
      <c r="K30" s="982"/>
    </row>
    <row r="31" spans="1:33" s="977" customFormat="1" ht="13.5" customHeight="1" thickBot="1">
      <c r="A31" s="2559" t="s">
        <v>2495</v>
      </c>
      <c r="B31" s="1007" t="s">
        <v>2496</v>
      </c>
      <c r="C31" s="1008">
        <f ca="1">ROUND(C4*F31/(1+'数据-取费表'!C42),0)</f>
        <v>36016</v>
      </c>
      <c r="D31" s="1009"/>
      <c r="E31" s="1010"/>
      <c r="F31" s="1011">
        <f>'数据-取费表'!B41</f>
        <v>5.5000000000000007E-2</v>
      </c>
      <c r="G31" s="1012" t="s">
        <v>2497</v>
      </c>
      <c r="H31" s="1013"/>
      <c r="I31" s="1013"/>
      <c r="J31" s="1013"/>
      <c r="K31" s="1014"/>
    </row>
    <row r="32" spans="1:33" s="972" customFormat="1" ht="13.5" customHeight="1" thickBot="1">
      <c r="A32" s="1002" t="s">
        <v>2498</v>
      </c>
      <c r="B32" s="1003"/>
      <c r="C32" s="1004">
        <f ca="1">ROUND((C4-C21-C22-C23-C25-C28-C31)/(1+C24+D25+D28),0)</f>
        <v>483597</v>
      </c>
      <c r="D32" s="1003"/>
      <c r="E32" s="1003"/>
      <c r="F32" s="1003"/>
      <c r="G32" s="1005" t="s">
        <v>2499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40" sqref="F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3175</v>
      </c>
      <c r="D1" s="1821" t="s">
        <v>3209</v>
      </c>
      <c r="E1" s="1822" t="s">
        <v>1383</v>
      </c>
      <c r="F1" s="1285">
        <f ca="1">J53</f>
        <v>67.070000000000007</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81527</v>
      </c>
      <c r="C2" s="1846" t="s">
        <v>1512</v>
      </c>
      <c r="D2" s="1846"/>
      <c r="E2" s="1847"/>
      <c r="F2" s="1848"/>
      <c r="G2" s="1849"/>
      <c r="H2" s="1841"/>
      <c r="I2" s="1841"/>
      <c r="J2" s="1841"/>
      <c r="K2" s="1842"/>
      <c r="L2" s="1841"/>
      <c r="M2" s="1841"/>
    </row>
    <row r="3" spans="1:37" ht="18" customHeight="1" thickBot="1">
      <c r="A3" s="1850" t="s">
        <v>1513</v>
      </c>
      <c r="B3" s="1851">
        <f ca="1">IF(ISERROR(B2*10000/F43),0,ROUND(B2*10000/F43,0))</f>
        <v>25738</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3126</v>
      </c>
      <c r="D5" s="1823" t="s">
        <v>1398</v>
      </c>
      <c r="E5" s="1295"/>
      <c r="F5" s="1296"/>
      <c r="G5" s="1852"/>
      <c r="H5" s="343">
        <v>1</v>
      </c>
      <c r="I5" s="344" t="s">
        <v>1397</v>
      </c>
      <c r="J5" s="1294">
        <f ca="1">J6+J10+J12</f>
        <v>0</v>
      </c>
      <c r="K5" s="1823" t="s">
        <v>1398</v>
      </c>
      <c r="L5" s="1295"/>
      <c r="M5" s="1296"/>
    </row>
    <row r="6" spans="1:37" ht="18" customHeight="1">
      <c r="A6" s="1293" t="s">
        <v>1032</v>
      </c>
      <c r="B6" s="3372" t="s">
        <v>1399</v>
      </c>
      <c r="C6" s="1298">
        <f ca="1">ROUND(F6*F8*F7*(1-F9)/10000,0)</f>
        <v>3122</v>
      </c>
      <c r="D6" s="163" t="s">
        <v>3014</v>
      </c>
      <c r="E6" s="346" t="s">
        <v>1401</v>
      </c>
      <c r="F6" s="347">
        <f ca="1">INDIRECT("'数据-取费表'!u"&amp;$G$1)</f>
        <v>3</v>
      </c>
      <c r="G6" s="1852"/>
      <c r="H6" s="1293" t="s">
        <v>1032</v>
      </c>
      <c r="I6" s="3372" t="s">
        <v>1399</v>
      </c>
      <c r="J6" s="345">
        <f ca="1">ROUND(M6*M8*M7*(1-M9)/10000,0)</f>
        <v>0</v>
      </c>
      <c r="K6" s="163" t="s">
        <v>3013</v>
      </c>
      <c r="L6" s="346" t="s">
        <v>1401</v>
      </c>
      <c r="M6" s="347">
        <f ca="1">INDIRECT("'数据-取费表'!z"&amp;$G$1)</f>
        <v>0</v>
      </c>
    </row>
    <row r="7" spans="1:37" ht="18" customHeight="1">
      <c r="A7" s="1297"/>
      <c r="B7" s="3373"/>
      <c r="C7" s="1299"/>
      <c r="D7" s="351"/>
      <c r="E7" s="1300" t="s">
        <v>1402</v>
      </c>
      <c r="F7" s="347">
        <f ca="1">IF(INDIRECT("'数据-取费表'!ah"&amp;$G$1)="",INDIRECT("'数据-取费表'!k"&amp;$G$1),INDIRECT("'数据-取费表'!ah"&amp;$G$1))</f>
        <v>31676.1</v>
      </c>
      <c r="G7" s="1852"/>
      <c r="H7" s="348"/>
      <c r="I7" s="3373"/>
      <c r="J7" s="350"/>
      <c r="K7" s="351"/>
      <c r="L7" s="346" t="s">
        <v>1402</v>
      </c>
      <c r="M7" s="347">
        <f ca="1">F7</f>
        <v>31676.1</v>
      </c>
    </row>
    <row r="8" spans="1:37" ht="18" customHeight="1">
      <c r="A8" s="348"/>
      <c r="B8" s="3373"/>
      <c r="C8" s="350"/>
      <c r="D8" s="351"/>
      <c r="E8" s="346" t="s">
        <v>1403</v>
      </c>
      <c r="F8" s="347">
        <f ca="1">INDIRECT("'数据-取费表'!ai"&amp;$G$1)</f>
        <v>365</v>
      </c>
      <c r="G8" s="1852"/>
      <c r="H8" s="348"/>
      <c r="I8" s="3373"/>
      <c r="J8" s="350"/>
      <c r="K8" s="351"/>
      <c r="L8" s="346" t="s">
        <v>1403</v>
      </c>
      <c r="M8" s="347">
        <f ca="1">INDIRECT("'数据-取费表'!ai"&amp;$G$1)</f>
        <v>365</v>
      </c>
    </row>
    <row r="9" spans="1:37" ht="18" customHeight="1">
      <c r="A9" s="348"/>
      <c r="B9" s="3374"/>
      <c r="C9" s="350"/>
      <c r="D9" s="351"/>
      <c r="E9" s="346" t="s">
        <v>1404</v>
      </c>
      <c r="F9" s="356">
        <f ca="1">INDIRECT("'数据-取费表'!w"&amp;$G$1)</f>
        <v>0.1</v>
      </c>
      <c r="G9" s="1852"/>
      <c r="H9" s="348"/>
      <c r="I9" s="3374"/>
      <c r="J9" s="350"/>
      <c r="K9" s="351"/>
      <c r="L9" s="357" t="s">
        <v>1404</v>
      </c>
      <c r="M9" s="358">
        <f ca="1">INDIRECT("'数据-取费表'!ab"&amp;$G$1)</f>
        <v>0</v>
      </c>
    </row>
    <row r="10" spans="1:37" ht="18" customHeight="1">
      <c r="A10" s="1293" t="s">
        <v>1036</v>
      </c>
      <c r="B10" s="1824" t="s">
        <v>1405</v>
      </c>
      <c r="C10" s="360">
        <f ca="1">ROUND(IF(F10="押一",C6/12*F11,IF(F10="押二",C6/12*2*F11,IF(F10="押三",C6/12*3*F11,C11*F11))),0)</f>
        <v>4</v>
      </c>
      <c r="D10" s="1825" t="s">
        <v>3023</v>
      </c>
      <c r="E10" s="357" t="s">
        <v>1406</v>
      </c>
      <c r="F10" s="1368" t="s">
        <v>3211</v>
      </c>
      <c r="G10" s="1852"/>
      <c r="H10" s="1293" t="s">
        <v>1036</v>
      </c>
      <c r="I10" s="1824" t="s">
        <v>1405</v>
      </c>
      <c r="J10" s="345">
        <f ca="1">ROUND(IF(M10="押一",J6/12*M11,IF(M10="押二",J6/12*2*M11,IF(M10="押三",J6/12*3*M11,J11*M11))),0)</f>
        <v>0</v>
      </c>
      <c r="K10" s="1825" t="s">
        <v>3022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17472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12840</v>
      </c>
      <c r="D14" s="1801" t="s">
        <v>1414</v>
      </c>
      <c r="E14" s="1795"/>
      <c r="F14" s="363"/>
      <c r="G14" s="1852"/>
      <c r="H14" s="1203" t="s">
        <v>1032</v>
      </c>
      <c r="I14" s="346" t="s">
        <v>1415</v>
      </c>
      <c r="J14" s="24">
        <f ca="1">C29</f>
        <v>17472</v>
      </c>
      <c r="K14" s="15"/>
      <c r="L14" s="981"/>
      <c r="M14" s="982"/>
    </row>
    <row r="15" spans="1:37" s="1859" customFormat="1" ht="18" customHeight="1" thickBot="1">
      <c r="A15" s="1203" t="s">
        <v>1033</v>
      </c>
      <c r="B15" s="346" t="s">
        <v>1416</v>
      </c>
      <c r="C15" s="24">
        <f ca="1">ROUND(C14*F15,0)</f>
        <v>385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380</v>
      </c>
      <c r="D16" s="346" t="s">
        <v>1417</v>
      </c>
      <c r="E16" s="346" t="s">
        <v>1418</v>
      </c>
      <c r="F16" s="366">
        <f ca="1">IF(INDIRECT("'数据-取费表'!c"&amp;$G$1)="住宅",'数据-取费表'!B34,0)</f>
        <v>0.03</v>
      </c>
      <c r="G16" s="1852"/>
      <c r="H16" s="1331" t="s">
        <v>1027</v>
      </c>
      <c r="I16" s="1332" t="s">
        <v>1420</v>
      </c>
      <c r="J16" s="354">
        <f ca="1">ROUND(J17+J22+J23+J24,0)</f>
        <v>411</v>
      </c>
      <c r="K16" s="1339" t="s">
        <v>1421</v>
      </c>
      <c r="L16" s="1340"/>
      <c r="M16" s="1296"/>
    </row>
    <row r="17" spans="1:37" s="1859" customFormat="1" ht="18" customHeight="1">
      <c r="A17" s="1203" t="s">
        <v>1386</v>
      </c>
      <c r="B17" s="346" t="s">
        <v>1422</v>
      </c>
      <c r="C17" s="24">
        <f ca="1">ROUND(F17*(F43+INDIRECT("'数据-取费表'!S"&amp;$G$1))/10000,0)</f>
        <v>648</v>
      </c>
      <c r="D17" s="346" t="s">
        <v>1423</v>
      </c>
      <c r="E17" s="346" t="s">
        <v>1424</v>
      </c>
      <c r="F17" s="26">
        <f>'数据-取费表'!B35</f>
        <v>200</v>
      </c>
      <c r="G17" s="1855"/>
      <c r="H17" s="1203" t="s">
        <v>1032</v>
      </c>
      <c r="I17" s="346" t="s">
        <v>1425</v>
      </c>
      <c r="J17" s="24">
        <f ca="1">ROUND(IF(项目基本情况!B11="自然人",J5*M17,J18+J19+J20),1)</f>
        <v>148.6</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193</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14446</v>
      </c>
      <c r="D19" s="139" t="s">
        <v>1432</v>
      </c>
      <c r="E19" s="1819"/>
      <c r="F19" s="26"/>
      <c r="G19" s="1852"/>
      <c r="H19" s="1203" t="s">
        <v>1033</v>
      </c>
      <c r="I19" s="346" t="s">
        <v>1433</v>
      </c>
      <c r="J19" s="24">
        <f ca="1">IF(K19="按租金收入计税",ROUND(J5*M19,2),ROUND(C29*M19*0.7,2))</f>
        <v>146.76</v>
      </c>
      <c r="K19" s="1829" t="s">
        <v>1434</v>
      </c>
      <c r="L19" s="346" t="s">
        <v>1418</v>
      </c>
      <c r="M19" s="366">
        <f>IF(K19="按租金收入计税",'数据-取费表'!B51,'数据-取费表'!B50)</f>
        <v>1.2E-2</v>
      </c>
    </row>
    <row r="20" spans="1:37" s="1859" customFormat="1" ht="18" customHeight="1">
      <c r="A20" s="1203" t="s">
        <v>1036</v>
      </c>
      <c r="B20" s="346" t="s">
        <v>1435</v>
      </c>
      <c r="C20" s="24">
        <f ca="1">ROUND(C19*F20,0)</f>
        <v>289</v>
      </c>
      <c r="D20" s="368" t="s">
        <v>1436</v>
      </c>
      <c r="E20" s="346" t="s">
        <v>1418</v>
      </c>
      <c r="F20" s="366">
        <f>'数据-取费表'!B37</f>
        <v>0.02</v>
      </c>
      <c r="G20" s="1855"/>
      <c r="H20" s="1203" t="s">
        <v>1385</v>
      </c>
      <c r="I20" s="163" t="s">
        <v>1437</v>
      </c>
      <c r="J20" s="25">
        <f ca="1">ROUND(M20*M21/10000,2)</f>
        <v>1.88</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12512.14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262.10000000000002</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700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-411</v>
      </c>
      <c r="K25" s="1347" t="s">
        <v>1460</v>
      </c>
      <c r="L25" s="1348"/>
      <c r="M25" s="1349"/>
    </row>
    <row r="26" spans="1:37">
      <c r="A26" s="1203" t="s">
        <v>1031</v>
      </c>
      <c r="B26" s="346" t="s">
        <v>1461</v>
      </c>
      <c r="C26" s="24">
        <f ca="1">ROUND((C19+C20)*F26,0)</f>
        <v>737</v>
      </c>
      <c r="D26" s="368" t="s">
        <v>1462</v>
      </c>
      <c r="E26" s="357" t="s">
        <v>1463</v>
      </c>
      <c r="F26" s="356">
        <f ca="1">INDIRECT("'数据-取费表'!q"&amp;$G$1)</f>
        <v>0.05</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17472</v>
      </c>
      <c r="D29" s="1344"/>
      <c r="E29" s="1342"/>
      <c r="F29" s="1345"/>
      <c r="G29" s="1855"/>
      <c r="H29" s="379" t="s">
        <v>1030</v>
      </c>
      <c r="I29" s="380" t="s">
        <v>1475</v>
      </c>
      <c r="J29" s="381">
        <f ca="1">ROUND(J26/(1+F40)^F41,0)</f>
        <v>0</v>
      </c>
      <c r="K29" s="382" t="s">
        <v>1476</v>
      </c>
      <c r="L29" s="383"/>
      <c r="M29" s="384">
        <f ca="1">INDIRECT("'数据-取费表'!k"&amp;$G$1)</f>
        <v>31676.1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876</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540.70000000000005</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163.74</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375.12</v>
      </c>
      <c r="D33" s="1829" t="s">
        <v>3210</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1.88</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12512.14</v>
      </c>
      <c r="G35" s="1852"/>
      <c r="H35" s="744"/>
      <c r="I35" s="1861"/>
      <c r="J35" s="1862"/>
      <c r="K35" s="1863"/>
      <c r="L35" s="1860"/>
      <c r="M35" s="1860"/>
    </row>
    <row r="36" spans="1:18" ht="18" customHeight="1">
      <c r="A36" s="1354" t="s">
        <v>1036</v>
      </c>
      <c r="B36" s="346" t="s">
        <v>1445</v>
      </c>
      <c r="C36" s="24">
        <f ca="1">ROUND(C29*F36,1)</f>
        <v>262.10000000000002</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26.2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46.9</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2250</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81527</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67.070000000000007</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25738</v>
      </c>
      <c r="D43" s="382" t="s">
        <v>1484</v>
      </c>
      <c r="E43" s="383" t="s">
        <v>1485</v>
      </c>
      <c r="F43" s="384">
        <f ca="1">INDIRECT("'数据-取费表'!k"&amp;$G$1)</f>
        <v>31676.1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-115354</v>
      </c>
      <c r="D46" s="1873" t="str">
        <f>C2</f>
        <v>万元</v>
      </c>
      <c r="E46" s="1867"/>
      <c r="F46" s="1867"/>
      <c r="I46" s="1874" t="s">
        <v>1517</v>
      </c>
      <c r="J46" s="1875"/>
      <c r="K46" s="1876"/>
      <c r="L46" s="1877">
        <f>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3212</v>
      </c>
      <c r="K47" s="1883" t="s">
        <v>1523</v>
      </c>
      <c r="L47" s="1884">
        <f ca="1">INDIRECT("'数据-取费表'!d"&amp;$G$1)</f>
        <v>70</v>
      </c>
      <c r="M47" s="1839" t="str">
        <f>IF(ISNUMBER(FIND("住宅",C1)),"住宅","非住宅")</f>
        <v>住宅</v>
      </c>
      <c r="O47" s="1885" t="s">
        <v>1037</v>
      </c>
      <c r="P47" s="1886" t="s">
        <v>1524</v>
      </c>
      <c r="Q47" s="1887">
        <f ca="1">C40+J29</f>
        <v>81527</v>
      </c>
      <c r="R47" s="1887" t="s">
        <v>1525</v>
      </c>
    </row>
    <row r="48" spans="1:18" s="1843" customFormat="1" ht="28.5" thickBot="1">
      <c r="A48" s="1362" t="s">
        <v>1132</v>
      </c>
      <c r="B48" s="344" t="s">
        <v>1397</v>
      </c>
      <c r="C48" s="1818">
        <f ca="1">C49+C53+C55</f>
        <v>0</v>
      </c>
      <c r="D48" s="1364"/>
      <c r="E48" s="1365"/>
      <c r="F48" s="1183"/>
      <c r="G48" s="791"/>
      <c r="H48" s="792"/>
      <c r="I48" s="1888" t="s">
        <v>1526</v>
      </c>
      <c r="J48" s="1889" t="s">
        <v>3213</v>
      </c>
      <c r="K48" s="1890" t="s">
        <v>1527</v>
      </c>
      <c r="L48" s="1891">
        <f ca="1">INDIRECT("'数据-取费表'!f"&amp;$G$1)</f>
        <v>68.67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3015</v>
      </c>
      <c r="E49" s="1831" t="s">
        <v>1487</v>
      </c>
      <c r="F49" s="1283"/>
      <c r="G49" s="1892"/>
      <c r="H49" s="792"/>
      <c r="I49" s="1888" t="s">
        <v>1530</v>
      </c>
      <c r="J49" s="1893">
        <v>2019</v>
      </c>
      <c r="K49" s="1890" t="s">
        <v>1531</v>
      </c>
      <c r="L49" s="1894"/>
      <c r="O49" s="1895" t="s">
        <v>1039</v>
      </c>
      <c r="P49" s="1886" t="s">
        <v>1532</v>
      </c>
      <c r="Q49" s="1887">
        <f ca="1">C29</f>
        <v>17472</v>
      </c>
      <c r="R49" s="1887" t="s">
        <v>1525</v>
      </c>
    </row>
    <row r="50" spans="1:18" s="1843" customFormat="1" ht="13.5" thickBot="1">
      <c r="A50" s="1197"/>
      <c r="B50" s="1200"/>
      <c r="C50" s="1370"/>
      <c r="D50" s="1174"/>
      <c r="E50" s="1279" t="s">
        <v>1402</v>
      </c>
      <c r="F50" s="1280">
        <f ca="1">F7</f>
        <v>31676.1</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61</v>
      </c>
      <c r="K51" s="1901" t="s">
        <v>1537</v>
      </c>
      <c r="L51" s="1902">
        <f ca="1">ROUND(-PV(INDIRECT("'数据-取费表'!h"&amp;$G$1),L48,(C39-C13*C76),0),0)</f>
        <v>16170</v>
      </c>
      <c r="M51" s="1903"/>
      <c r="O51" s="1895" t="s">
        <v>1041</v>
      </c>
      <c r="P51" s="1886" t="s">
        <v>1538</v>
      </c>
      <c r="Q51" s="1898">
        <f>J52</f>
        <v>0.09</v>
      </c>
      <c r="R51" s="1887"/>
    </row>
    <row r="52" spans="1:18" s="1843" customFormat="1" ht="13.5" thickBot="1">
      <c r="A52" s="1198"/>
      <c r="B52" s="1200"/>
      <c r="C52" s="1201"/>
      <c r="D52" s="1174"/>
      <c r="E52" s="1202" t="s">
        <v>1404</v>
      </c>
      <c r="F52" s="1277"/>
      <c r="I52" s="1904" t="s">
        <v>1539</v>
      </c>
      <c r="J52" s="1905">
        <v>0.09</v>
      </c>
      <c r="K52" s="1904" t="s">
        <v>1540</v>
      </c>
      <c r="L52" s="1905"/>
      <c r="O52" s="1895" t="s">
        <v>1042</v>
      </c>
      <c r="P52" s="1886" t="s">
        <v>1541</v>
      </c>
      <c r="Q52" s="1887">
        <f ca="1">J53</f>
        <v>67.070000000000007</v>
      </c>
      <c r="R52" s="1887" t="s">
        <v>1542</v>
      </c>
    </row>
    <row r="53" spans="1:18" s="1843" customFormat="1" ht="24.75" thickBot="1">
      <c r="A53" s="1407" t="s">
        <v>1134</v>
      </c>
      <c r="B53" s="1832" t="s">
        <v>1405</v>
      </c>
      <c r="C53" s="360">
        <f ca="1">ROUND(IF(F53="押一",C49/12*F11,IF(F53="押二",C49/12*2*F11,IF(F53="押三",C49/12*3*F11,C54*F11))),0)</f>
        <v>0</v>
      </c>
      <c r="D53" s="1825" t="s">
        <v>3022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67.070000000000007</v>
      </c>
      <c r="K53" s="3370" t="s">
        <v>1544</v>
      </c>
      <c r="L53" s="3371"/>
      <c r="O53" s="1885" t="s">
        <v>1043</v>
      </c>
      <c r="P53" s="1886" t="s">
        <v>1545</v>
      </c>
      <c r="Q53" s="1887">
        <f ca="1">Q47+Q48</f>
        <v>81527</v>
      </c>
      <c r="R53" s="1887" t="s">
        <v>1044</v>
      </c>
    </row>
    <row r="54" spans="1:18" s="1843" customFormat="1" ht="13.5" thickBot="1">
      <c r="A54" s="1408"/>
      <c r="B54" s="1826" t="s">
        <v>1384</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17472</v>
      </c>
      <c r="D56" s="1915"/>
      <c r="E56" s="1916"/>
      <c r="F56" s="1908"/>
      <c r="I56" s="1917" t="s">
        <v>1550</v>
      </c>
      <c r="J56" s="1918" t="s">
        <v>3178</v>
      </c>
      <c r="K56" s="1888" t="s">
        <v>1551</v>
      </c>
      <c r="L56" s="1891">
        <f ca="1">IF(L48&lt;J51,"——",L48-J53)</f>
        <v>1.5999999999999943</v>
      </c>
      <c r="O56" s="1885" t="s">
        <v>1037</v>
      </c>
      <c r="P56" s="1886" t="s">
        <v>1524</v>
      </c>
      <c r="Q56" s="1887">
        <f ca="1">C40+J29</f>
        <v>81527</v>
      </c>
      <c r="R56" s="1887" t="s">
        <v>1525</v>
      </c>
    </row>
    <row r="57" spans="1:18" s="1843" customFormat="1" ht="24.75" thickBot="1">
      <c r="A57" s="1919"/>
      <c r="B57" s="1171" t="s">
        <v>1474</v>
      </c>
      <c r="C57" s="281">
        <f ca="1">C29</f>
        <v>17472</v>
      </c>
      <c r="D57" s="1920"/>
      <c r="E57" s="1921"/>
      <c r="F57" s="1922"/>
      <c r="I57" s="1923" t="s">
        <v>1552</v>
      </c>
      <c r="J57" s="1924" t="str">
        <f ca="1">IF(OR(M47="住宅",J51&lt;L48,J56="是"),"——",J51-L48)</f>
        <v>——</v>
      </c>
      <c r="K57" s="1888" t="s">
        <v>1553</v>
      </c>
      <c r="L57" s="1891">
        <f ca="1">IF(L48&lt;J51,"——",IF(L55="比较法",L49,IF(L55="基准地价",L50,L51)))</f>
        <v>16170</v>
      </c>
      <c r="O57" s="1885" t="s">
        <v>1038</v>
      </c>
      <c r="P57" s="1886" t="s">
        <v>1554</v>
      </c>
      <c r="Q57" s="1887">
        <f ca="1">L60</f>
        <v>0</v>
      </c>
      <c r="R57" s="1887" t="s">
        <v>1555</v>
      </c>
    </row>
    <row r="58" spans="1:18" s="1843" customFormat="1" ht="24.75" thickBot="1">
      <c r="A58" s="359" t="s">
        <v>1027</v>
      </c>
      <c r="B58" s="1179" t="s">
        <v>1420</v>
      </c>
      <c r="C58" s="360">
        <f ca="1">ROUND(C59+C64+C65+C66,0)</f>
        <v>1758</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1469.5</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1467.65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1.88</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81527</v>
      </c>
      <c r="R62" s="1887" t="s">
        <v>1044</v>
      </c>
    </row>
    <row r="63" spans="1:18" s="1843" customFormat="1" ht="13.5" thickBot="1">
      <c r="A63" s="371"/>
      <c r="B63" s="1177"/>
      <c r="C63" s="29"/>
      <c r="D63" s="1187"/>
      <c r="E63" s="1171" t="s">
        <v>1495</v>
      </c>
      <c r="F63" s="347">
        <f t="shared" ca="1" si="0"/>
        <v>12512.14</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262.10000000000002</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26.2</v>
      </c>
      <c r="D65" s="1185" t="s">
        <v>1450</v>
      </c>
      <c r="E65" s="1171" t="s">
        <v>1451</v>
      </c>
      <c r="F65" s="375">
        <f t="shared" ca="1" si="0"/>
        <v>1.5E-3</v>
      </c>
      <c r="I65" s="1930" t="s">
        <v>1575</v>
      </c>
      <c r="J65" s="1931">
        <v>40</v>
      </c>
      <c r="K65" s="1931">
        <v>30</v>
      </c>
      <c r="L65" s="1931">
        <v>50</v>
      </c>
      <c r="M65" s="1933">
        <v>0.02</v>
      </c>
      <c r="O65" s="1885" t="s">
        <v>1037</v>
      </c>
      <c r="P65" s="1886" t="s">
        <v>1576</v>
      </c>
      <c r="Q65" s="1887">
        <f ca="1">C40+J29</f>
        <v>81527</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-1758</v>
      </c>
      <c r="D67" s="1184" t="s">
        <v>1460</v>
      </c>
      <c r="E67" s="1189"/>
      <c r="F67" s="1190"/>
      <c r="O67" s="1895" t="s">
        <v>1039</v>
      </c>
      <c r="P67" s="1886" t="s">
        <v>1558</v>
      </c>
      <c r="Q67" s="1934">
        <f ca="1">L51</f>
        <v>16170</v>
      </c>
      <c r="R67" s="1887" t="s">
        <v>1578</v>
      </c>
    </row>
    <row r="68" spans="1:18" s="1843" customFormat="1" ht="16.5" thickBot="1">
      <c r="A68" s="1168" t="s">
        <v>1029</v>
      </c>
      <c r="B68" s="1169" t="s">
        <v>1481</v>
      </c>
      <c r="C68" s="345">
        <f ca="1">ROUND(C67*(1-((1+F70)/(1+F68))^F69)/(F68-F70),0)</f>
        <v>-33827</v>
      </c>
      <c r="D68" s="1186" t="s">
        <v>1465</v>
      </c>
      <c r="E68" s="1171" t="s">
        <v>1466</v>
      </c>
      <c r="F68" s="356">
        <f ca="1">F40</f>
        <v>0.05</v>
      </c>
      <c r="O68" s="1895" t="s">
        <v>1040</v>
      </c>
      <c r="P68" s="1935" t="s">
        <v>1579</v>
      </c>
      <c r="Q68" s="1887">
        <f ca="1">ROUND(Q69-Q70*Q71,0)</f>
        <v>765</v>
      </c>
      <c r="R68" s="1887" t="s">
        <v>1048</v>
      </c>
    </row>
    <row r="69" spans="1:18" s="1843" customFormat="1" ht="13.5" thickBot="1">
      <c r="A69" s="1172"/>
      <c r="B69" s="1173"/>
      <c r="C69" s="350"/>
      <c r="D69" s="1191" t="s">
        <v>1469</v>
      </c>
      <c r="E69" s="1171" t="s">
        <v>1470</v>
      </c>
      <c r="F69" s="378">
        <f ca="1">F41</f>
        <v>67.070000000000007</v>
      </c>
      <c r="O69" s="1895" t="s">
        <v>1045</v>
      </c>
      <c r="P69" s="1935" t="s">
        <v>1580</v>
      </c>
      <c r="Q69" s="1887">
        <f ca="1">C39</f>
        <v>2250</v>
      </c>
      <c r="R69" s="1887" t="s">
        <v>1525</v>
      </c>
    </row>
    <row r="70" spans="1:18" s="1843" customFormat="1" ht="13.5" thickBot="1">
      <c r="A70" s="1175"/>
      <c r="B70" s="1176"/>
      <c r="C70" s="354"/>
      <c r="D70" s="1187"/>
      <c r="E70" s="1171" t="s">
        <v>1473</v>
      </c>
      <c r="F70" s="1277"/>
      <c r="O70" s="1895" t="s">
        <v>1046</v>
      </c>
      <c r="P70" s="1935" t="s">
        <v>1581</v>
      </c>
      <c r="Q70" s="1887">
        <f ca="1">C13</f>
        <v>17472</v>
      </c>
      <c r="R70" s="1887" t="s">
        <v>1525</v>
      </c>
    </row>
    <row r="71" spans="1:18" s="1843" customFormat="1" ht="13.5" thickBot="1">
      <c r="A71" s="1192" t="s">
        <v>1030</v>
      </c>
      <c r="B71" s="1193" t="s">
        <v>1483</v>
      </c>
      <c r="C71" s="381">
        <f ca="1">ROUND(C68*10000/F71,0)</f>
        <v>-10679</v>
      </c>
      <c r="D71" s="1194" t="s">
        <v>1484</v>
      </c>
      <c r="E71" s="1195" t="s">
        <v>1485</v>
      </c>
      <c r="F71" s="384">
        <f ca="1">F43</f>
        <v>31676.1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1485</v>
      </c>
      <c r="D75" s="1843"/>
      <c r="E75" s="1843"/>
      <c r="F75" s="1843"/>
      <c r="K75" s="1869"/>
      <c r="L75" s="1843"/>
      <c r="O75" s="1885" t="s">
        <v>1043</v>
      </c>
      <c r="P75" s="1886" t="s">
        <v>1545</v>
      </c>
      <c r="Q75" s="1887">
        <f ca="1">Q65+Q66</f>
        <v>81527</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0.33999999999999997</v>
      </c>
    </row>
    <row r="80" spans="1:18">
      <c r="B80" s="385" t="s">
        <v>1507</v>
      </c>
      <c r="C80" s="317">
        <f ca="1">ROUND(C75/C39,3)</f>
        <v>0.66</v>
      </c>
    </row>
    <row r="81" spans="2:3">
      <c r="B81" s="313" t="s">
        <v>1508</v>
      </c>
      <c r="C81" s="281"/>
    </row>
    <row r="82" spans="2:3">
      <c r="B82" s="316" t="s">
        <v>1509</v>
      </c>
      <c r="C82" s="318">
        <f ca="1">1-C83</f>
        <v>0.78600000000000003</v>
      </c>
    </row>
    <row r="83" spans="2:3">
      <c r="B83" s="316" t="s">
        <v>1510</v>
      </c>
      <c r="C83" s="317">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1607</v>
      </c>
    </row>
    <row r="2" spans="1:1">
      <c r="A2" s="1947"/>
    </row>
    <row r="3" spans="1:1" ht="18">
      <c r="A3" s="1948" t="str">
        <f>项目基本情况!B5&amp;"："</f>
        <v>北京万龙华房地产开发有限公司 ：</v>
      </c>
    </row>
    <row r="4" spans="1:1" ht="36">
      <c r="A4" s="1949" t="str">
        <f>"受贵公司委托，我公司对"&amp;项目基本情况!S1&amp;"进行了预评估。"</f>
        <v>受贵公司委托，我公司对北京市顺义区高丽营镇于庄03-31地块出让国有建设用地使用权及在建建筑物房地产抵押价值进行了预评估。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-31地块出让国有建设用地使用权及在建建筑物房地产，为所有。根据《不动产权证书》[京（2018）顺不动产权第0000011、0000012号]，估价对象（分摊）出让国有建设用地使用权面积为82881.19平方米。根据，估价对象建筑面积为219161.38平方米。</v>
      </c>
    </row>
    <row r="8" spans="1:1" ht="57.75">
      <c r="A8" s="1952" t="s">
        <v>1610</v>
      </c>
    </row>
    <row r="9" spans="1:1" ht="18.75">
      <c r="A9" s="1951" t="s">
        <v>1611</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82881.19平方米。根据，估价对象规划建筑面积为219161.38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为估价委托人在向建行城建、中行北京分行丰台支行、农行北分崇文门办理贷款手续过程中，确定房地产抵押贷款额度提供参考依据而评估房地产抵押价值。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2018年12月10日（评估专业人员实地查勘之日）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13</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372" t="s">
        <v>1399</v>
      </c>
      <c r="C6" s="1298">
        <f ca="1">ROUND(F6*F8*F7*(1-F9),0)</f>
        <v>0</v>
      </c>
      <c r="D6" s="163" t="s">
        <v>3011</v>
      </c>
      <c r="E6" s="346" t="s">
        <v>1401</v>
      </c>
      <c r="F6" s="347">
        <f ca="1">INDIRECT("'数据-取费表'!u"&amp;$G$1)</f>
        <v>0</v>
      </c>
      <c r="G6" s="1852"/>
      <c r="H6" s="1293" t="s">
        <v>1032</v>
      </c>
      <c r="I6" s="3372" t="s">
        <v>1399</v>
      </c>
      <c r="J6" s="345">
        <f ca="1">ROUND(M6*M8*M7*(1-M9),0)</f>
        <v>0</v>
      </c>
      <c r="K6" s="1835" t="s">
        <v>3012</v>
      </c>
      <c r="L6" s="346" t="s">
        <v>1401</v>
      </c>
      <c r="M6" s="347">
        <f ca="1">INDIRECT("'数据-取费表'!z"&amp;$G$1)</f>
        <v>0</v>
      </c>
    </row>
    <row r="7" spans="1:37" ht="18" customHeight="1">
      <c r="A7" s="1297"/>
      <c r="B7" s="3373"/>
      <c r="C7" s="1299"/>
      <c r="D7" s="351"/>
      <c r="E7" s="1300" t="s">
        <v>1402</v>
      </c>
      <c r="F7" s="347">
        <f ca="1">IF(INDIRECT("'数据-取费表'!ah"&amp;$G$1)="",INDIRECT("'数据-取费表'!k"&amp;$G$1),INDIRECT("'数据-取费表'!ah"&amp;$G$1))</f>
        <v>0</v>
      </c>
      <c r="G7" s="1852"/>
      <c r="H7" s="348"/>
      <c r="I7" s="3373"/>
      <c r="J7" s="350"/>
      <c r="K7" s="351"/>
      <c r="L7" s="346" t="s">
        <v>1402</v>
      </c>
      <c r="M7" s="347">
        <f ca="1">F7</f>
        <v>0</v>
      </c>
    </row>
    <row r="8" spans="1:37" ht="18" customHeight="1">
      <c r="A8" s="348"/>
      <c r="B8" s="3373"/>
      <c r="C8" s="350"/>
      <c r="D8" s="351"/>
      <c r="E8" s="346" t="s">
        <v>1403</v>
      </c>
      <c r="F8" s="347">
        <f ca="1">INDIRECT("'数据-取费表'!ai"&amp;$G$1)</f>
        <v>0</v>
      </c>
      <c r="G8" s="1852"/>
      <c r="H8" s="348"/>
      <c r="I8" s="3373"/>
      <c r="J8" s="350"/>
      <c r="K8" s="351"/>
      <c r="L8" s="346" t="s">
        <v>1403</v>
      </c>
      <c r="M8" s="347">
        <f ca="1">INDIRECT("'数据-取费表'!ai"&amp;$G$1)</f>
        <v>0</v>
      </c>
    </row>
    <row r="9" spans="1:37" ht="18" customHeight="1">
      <c r="A9" s="348"/>
      <c r="B9" s="3374"/>
      <c r="C9" s="350"/>
      <c r="D9" s="351"/>
      <c r="E9" s="346" t="s">
        <v>1404</v>
      </c>
      <c r="F9" s="356">
        <f ca="1">INDIRECT("'数据-取费表'!w"&amp;$G$1)</f>
        <v>0</v>
      </c>
      <c r="G9" s="1852"/>
      <c r="H9" s="348"/>
      <c r="I9" s="3374"/>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3022</v>
      </c>
      <c r="E10" s="357" t="s">
        <v>1406</v>
      </c>
      <c r="F10" s="1368"/>
      <c r="G10" s="1852"/>
      <c r="H10" s="1293" t="s">
        <v>1036</v>
      </c>
      <c r="I10" s="1824" t="s">
        <v>1405</v>
      </c>
      <c r="J10" s="345">
        <f ca="1">ROUND(IF(M10="押一",J6/12*M11,IF(M10="押二",J6/12*2*M11,IF(M10="押三",J6/12*3*M11,J11*M11))),0)</f>
        <v>0</v>
      </c>
      <c r="K10" s="1836" t="s">
        <v>3024</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3025</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370" t="s">
        <v>1544</v>
      </c>
      <c r="L53" s="3371"/>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35" sqref="E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3209</v>
      </c>
      <c r="E1" s="1822" t="s">
        <v>1383</v>
      </c>
      <c r="F1" s="1285">
        <f ca="1">J53</f>
        <v>37.049999999999997</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1129</v>
      </c>
      <c r="C2" s="1846" t="s">
        <v>1512</v>
      </c>
      <c r="D2" s="1846"/>
      <c r="E2" s="1847"/>
      <c r="F2" s="1848"/>
      <c r="G2" s="1849"/>
      <c r="H2" s="1841"/>
      <c r="I2" s="1841"/>
      <c r="J2" s="1841"/>
      <c r="K2" s="1842"/>
      <c r="L2" s="1841"/>
      <c r="M2" s="1841"/>
    </row>
    <row r="3" spans="1:37" ht="18" customHeight="1" thickBot="1">
      <c r="A3" s="1850" t="s">
        <v>1513</v>
      </c>
      <c r="B3" s="1851">
        <f ca="1">IF(ISERROR(B2*10000/F43),0,ROUND(B2*10000/F43,0))</f>
        <v>23521</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95</v>
      </c>
      <c r="D5" s="1823" t="s">
        <v>1398</v>
      </c>
      <c r="E5" s="1295"/>
      <c r="F5" s="1296"/>
      <c r="G5" s="1852"/>
      <c r="H5" s="343">
        <v>1</v>
      </c>
      <c r="I5" s="344" t="s">
        <v>1397</v>
      </c>
      <c r="J5" s="1294">
        <f ca="1">J6+J10+J12</f>
        <v>0</v>
      </c>
      <c r="K5" s="1823" t="s">
        <v>1398</v>
      </c>
      <c r="L5" s="1295"/>
      <c r="M5" s="1296"/>
    </row>
    <row r="6" spans="1:37" ht="18" customHeight="1">
      <c r="A6" s="1293" t="s">
        <v>1032</v>
      </c>
      <c r="B6" s="3372" t="s">
        <v>1399</v>
      </c>
      <c r="C6" s="1298">
        <f ca="1">ROUND(F6*F8*F7*(1-F9)/10000,0)</f>
        <v>95</v>
      </c>
      <c r="D6" s="163" t="s">
        <v>3014</v>
      </c>
      <c r="E6" s="346" t="s">
        <v>1401</v>
      </c>
      <c r="F6" s="347">
        <f ca="1">INDIRECT("'数据-取费表'!u"&amp;$G$1)</f>
        <v>6</v>
      </c>
      <c r="G6" s="1852"/>
      <c r="H6" s="1293" t="s">
        <v>1032</v>
      </c>
      <c r="I6" s="3372" t="s">
        <v>1399</v>
      </c>
      <c r="J6" s="345">
        <f ca="1">ROUND(M6*M8*M7*(1-M9)/10000,0)</f>
        <v>0</v>
      </c>
      <c r="K6" s="163" t="s">
        <v>3013</v>
      </c>
      <c r="L6" s="346" t="s">
        <v>1401</v>
      </c>
      <c r="M6" s="347">
        <f ca="1">INDIRECT("'数据-取费表'!z"&amp;$G$1)</f>
        <v>0</v>
      </c>
    </row>
    <row r="7" spans="1:37" ht="18" customHeight="1">
      <c r="A7" s="1297"/>
      <c r="B7" s="3373"/>
      <c r="C7" s="1299"/>
      <c r="D7" s="351"/>
      <c r="E7" s="2949" t="s">
        <v>1402</v>
      </c>
      <c r="F7" s="347">
        <f ca="1">IF(INDIRECT("'数据-取费表'!ah"&amp;$G$1)="",INDIRECT("'数据-取费表'!k"&amp;$G$1),INDIRECT("'数据-取费表'!ah"&amp;$G$1))</f>
        <v>480</v>
      </c>
      <c r="G7" s="1852"/>
      <c r="H7" s="348"/>
      <c r="I7" s="3373"/>
      <c r="J7" s="350"/>
      <c r="K7" s="351"/>
      <c r="L7" s="346" t="s">
        <v>1402</v>
      </c>
      <c r="M7" s="347">
        <f ca="1">F7</f>
        <v>480</v>
      </c>
    </row>
    <row r="8" spans="1:37" ht="18" customHeight="1">
      <c r="A8" s="348"/>
      <c r="B8" s="3373"/>
      <c r="C8" s="350"/>
      <c r="D8" s="351"/>
      <c r="E8" s="346" t="s">
        <v>1403</v>
      </c>
      <c r="F8" s="347">
        <f ca="1">INDIRECT("'数据-取费表'!ai"&amp;$G$1)</f>
        <v>365</v>
      </c>
      <c r="G8" s="1852"/>
      <c r="H8" s="348"/>
      <c r="I8" s="3373"/>
      <c r="J8" s="350"/>
      <c r="K8" s="351"/>
      <c r="L8" s="346" t="s">
        <v>1403</v>
      </c>
      <c r="M8" s="347">
        <f ca="1">INDIRECT("'数据-取费表'!ai"&amp;$G$1)</f>
        <v>365</v>
      </c>
    </row>
    <row r="9" spans="1:37" ht="18" customHeight="1">
      <c r="A9" s="348"/>
      <c r="B9" s="3374"/>
      <c r="C9" s="350"/>
      <c r="D9" s="351"/>
      <c r="E9" s="346" t="s">
        <v>1404</v>
      </c>
      <c r="F9" s="356">
        <f ca="1">INDIRECT("'数据-取费表'!w"&amp;$G$1)</f>
        <v>0.1</v>
      </c>
      <c r="G9" s="1852"/>
      <c r="H9" s="348"/>
      <c r="I9" s="3374"/>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3022</v>
      </c>
      <c r="E10" s="357" t="s">
        <v>1406</v>
      </c>
      <c r="F10" s="1368" t="s">
        <v>3211</v>
      </c>
      <c r="G10" s="1852"/>
      <c r="H10" s="1293" t="s">
        <v>1036</v>
      </c>
      <c r="I10" s="1824" t="s">
        <v>1405</v>
      </c>
      <c r="J10" s="345">
        <f ca="1">ROUND(IF(M10="押一",J6/12*M11,IF(M10="押二",J6/12*2*M11,IF(M10="押三",J6/12*3*M11,J11*M11))),0)</f>
        <v>0</v>
      </c>
      <c r="K10" s="1825" t="s">
        <v>3022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283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195</v>
      </c>
      <c r="D14" s="2943" t="s">
        <v>1414</v>
      </c>
      <c r="E14" s="2941"/>
      <c r="F14" s="363"/>
      <c r="G14" s="1852"/>
      <c r="H14" s="1203" t="s">
        <v>1032</v>
      </c>
      <c r="I14" s="346" t="s">
        <v>1415</v>
      </c>
      <c r="J14" s="24">
        <f ca="1">C29</f>
        <v>283</v>
      </c>
      <c r="K14" s="2948"/>
      <c r="L14" s="981"/>
      <c r="M14" s="982"/>
    </row>
    <row r="15" spans="1:37" s="1859" customFormat="1" ht="18" customHeight="1" thickBot="1">
      <c r="A15" s="1203" t="s">
        <v>1033</v>
      </c>
      <c r="B15" s="346" t="s">
        <v>1416</v>
      </c>
      <c r="C15" s="24">
        <f ca="1">ROUND(C14*F15,0)</f>
        <v>6</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7</v>
      </c>
      <c r="K16" s="1339" t="s">
        <v>1421</v>
      </c>
      <c r="L16" s="2944"/>
      <c r="M16" s="1296"/>
    </row>
    <row r="17" spans="1:37" s="1859" customFormat="1" ht="18" customHeight="1">
      <c r="A17" s="1203" t="s">
        <v>1386</v>
      </c>
      <c r="B17" s="346" t="s">
        <v>1422</v>
      </c>
      <c r="C17" s="24">
        <f ca="1">ROUND(F17*(F43+INDIRECT("'数据-取费表'!S"&amp;$G$1))/10000,0)</f>
        <v>10</v>
      </c>
      <c r="D17" s="346" t="s">
        <v>1423</v>
      </c>
      <c r="E17" s="346" t="s">
        <v>1424</v>
      </c>
      <c r="F17" s="26">
        <f>'数据-取费表'!B35</f>
        <v>200</v>
      </c>
      <c r="G17" s="1855"/>
      <c r="H17" s="1203" t="s">
        <v>1032</v>
      </c>
      <c r="I17" s="346" t="s">
        <v>1425</v>
      </c>
      <c r="J17" s="24">
        <f ca="1">ROUND(IF(项目基本情况!B11="自然人",J5*M17,J18+J19+J20),1)</f>
        <v>2.4</v>
      </c>
      <c r="K17" s="2943" t="s">
        <v>1426</v>
      </c>
      <c r="L17" s="2942"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3</v>
      </c>
      <c r="D18" s="346" t="s">
        <v>1417</v>
      </c>
      <c r="E18" s="346" t="s">
        <v>1418</v>
      </c>
      <c r="F18" s="366">
        <f>'数据-取费表'!B36</f>
        <v>1.4999999999999999E-2</v>
      </c>
      <c r="G18" s="1855"/>
      <c r="H18" s="1203" t="s">
        <v>1031</v>
      </c>
      <c r="I18" s="346" t="s">
        <v>1429</v>
      </c>
      <c r="J18" s="24">
        <f ca="1">ROUND(J5*M18/(1+'数据-取费表'!C42),2)</f>
        <v>0</v>
      </c>
      <c r="K18" s="2942"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214</v>
      </c>
      <c r="D19" s="139" t="s">
        <v>1432</v>
      </c>
      <c r="E19" s="2947"/>
      <c r="F19" s="26"/>
      <c r="G19" s="1852"/>
      <c r="H19" s="1203" t="s">
        <v>1033</v>
      </c>
      <c r="I19" s="346" t="s">
        <v>1433</v>
      </c>
      <c r="J19" s="24">
        <f ca="1">IF(K19="按租金收入计税",ROUND(J5*M19,2),ROUND(C29*M19*0.7,2))</f>
        <v>2.38</v>
      </c>
      <c r="K19" s="1829" t="s">
        <v>1434</v>
      </c>
      <c r="L19" s="346" t="s">
        <v>1418</v>
      </c>
      <c r="M19" s="366">
        <f>IF(K19="按租金收入计税",'数据-取费表'!B51,'数据-取费表'!B50)</f>
        <v>1.2E-2</v>
      </c>
    </row>
    <row r="20" spans="1:37" s="1859" customFormat="1" ht="18" customHeight="1">
      <c r="A20" s="1203" t="s">
        <v>1036</v>
      </c>
      <c r="B20" s="346" t="s">
        <v>1435</v>
      </c>
      <c r="C20" s="24">
        <f ca="1">ROUND(C19*F20,0)</f>
        <v>4</v>
      </c>
      <c r="D20" s="368" t="s">
        <v>1436</v>
      </c>
      <c r="E20" s="346" t="s">
        <v>1418</v>
      </c>
      <c r="F20" s="366">
        <f>'数据-取费表'!B37</f>
        <v>0.02</v>
      </c>
      <c r="G20" s="1855"/>
      <c r="H20" s="1203" t="s">
        <v>1385</v>
      </c>
      <c r="I20" s="163" t="s">
        <v>1437</v>
      </c>
      <c r="J20" s="25">
        <f ca="1">ROUND(M20*M21/10000,2)</f>
        <v>0.03</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185.57000000000002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7"/>
      <c r="F22" s="26"/>
      <c r="G22" s="1852"/>
      <c r="H22" s="1203" t="s">
        <v>1036</v>
      </c>
      <c r="I22" s="346" t="s">
        <v>1445</v>
      </c>
      <c r="J22" s="24">
        <f ca="1">ROUND(J14*M22,1)</f>
        <v>4.2</v>
      </c>
      <c r="K22" s="2942"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2"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7"/>
      <c r="F25" s="26"/>
      <c r="G25" s="1852"/>
      <c r="H25" s="1331" t="s">
        <v>1028</v>
      </c>
      <c r="I25" s="1346" t="s">
        <v>1459</v>
      </c>
      <c r="J25" s="354">
        <f ca="1">J5-J16</f>
        <v>-7</v>
      </c>
      <c r="K25" s="1347" t="s">
        <v>1460</v>
      </c>
      <c r="L25" s="1348"/>
      <c r="M25" s="1349"/>
    </row>
    <row r="26" spans="1:37">
      <c r="A26" s="1203" t="s">
        <v>1031</v>
      </c>
      <c r="B26" s="346" t="s">
        <v>1461</v>
      </c>
      <c r="C26" s="24">
        <f ca="1">ROUND((C19+C20)*F26,0)</f>
        <v>33</v>
      </c>
      <c r="D26" s="368" t="s">
        <v>1462</v>
      </c>
      <c r="E26" s="357" t="s">
        <v>1463</v>
      </c>
      <c r="F26" s="356">
        <f ca="1">INDIRECT("'数据-取费表'!q"&amp;$G$1)</f>
        <v>0.15</v>
      </c>
      <c r="G26" s="1852"/>
      <c r="H26" s="343" t="s">
        <v>1029</v>
      </c>
      <c r="I26" s="344" t="s">
        <v>1464</v>
      </c>
      <c r="J26" s="345">
        <f ca="1">IF(J5&lt;&gt;0,ROUND(J25*(1-((1+M28)/(1+M26))^M27)/(M26-M28),0),0)</f>
        <v>0</v>
      </c>
      <c r="K26" s="369" t="s">
        <v>1465</v>
      </c>
      <c r="L26" s="346" t="s">
        <v>1466</v>
      </c>
      <c r="M26" s="356">
        <f ca="1">INDIRECT("'数据-取费表'!I"&amp;$G$1)</f>
        <v>5.5E-2</v>
      </c>
    </row>
    <row r="27" spans="1:37" ht="18" customHeight="1">
      <c r="A27" s="1203" t="s">
        <v>1033</v>
      </c>
      <c r="B27" s="346" t="s">
        <v>1467</v>
      </c>
      <c r="C27" s="24">
        <f ca="1">ROUND(F21*F26,4)</f>
        <v>3.0000000000000001E-3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283</v>
      </c>
      <c r="D29" s="1344"/>
      <c r="E29" s="1342"/>
      <c r="F29" s="1345"/>
      <c r="G29" s="1855"/>
      <c r="H29" s="379" t="s">
        <v>1030</v>
      </c>
      <c r="I29" s="380" t="s">
        <v>1475</v>
      </c>
      <c r="J29" s="381">
        <f ca="1">ROUND(J26/(1+F40)^F41,0)</f>
        <v>0</v>
      </c>
      <c r="K29" s="382" t="s">
        <v>1476</v>
      </c>
      <c r="L29" s="383"/>
      <c r="M29" s="384">
        <f ca="1">INDIRECT("'数据-取费表'!k"&amp;$G$1)</f>
        <v>480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v>
      </c>
      <c r="D30" s="1339" t="s">
        <v>1421</v>
      </c>
      <c r="E30" s="2944"/>
      <c r="F30" s="1296"/>
      <c r="G30" s="1852"/>
      <c r="H30" s="744"/>
      <c r="I30" s="745"/>
      <c r="J30" s="746"/>
      <c r="K30" s="747"/>
      <c r="L30" s="748"/>
      <c r="M30" s="749"/>
    </row>
    <row r="31" spans="1:37" ht="18" customHeight="1">
      <c r="A31" s="1203" t="s">
        <v>1032</v>
      </c>
      <c r="B31" s="346" t="s">
        <v>1425</v>
      </c>
      <c r="C31" s="24">
        <f ca="1">ROUND(IF(项目基本情况!B11="自然人",C5*F31,C32+C33+C34),1)</f>
        <v>16.399999999999999</v>
      </c>
      <c r="D31" s="2943" t="s">
        <v>1426</v>
      </c>
      <c r="E31" s="2942"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4.9800000000000004</v>
      </c>
      <c r="D32" s="2942"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11.4</v>
      </c>
      <c r="D33" s="1829" t="s">
        <v>3210</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0.03</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185.57000000000002</v>
      </c>
      <c r="G35" s="1852"/>
      <c r="H35" s="744"/>
      <c r="I35" s="1861"/>
      <c r="J35" s="1862"/>
      <c r="K35" s="1863"/>
      <c r="L35" s="1860"/>
      <c r="M35" s="1860"/>
    </row>
    <row r="36" spans="1:18" ht="18" customHeight="1">
      <c r="A36" s="1354" t="s">
        <v>1036</v>
      </c>
      <c r="B36" s="346" t="s">
        <v>1445</v>
      </c>
      <c r="C36" s="24">
        <f ca="1">ROUND(C29*F36,1)</f>
        <v>4.2</v>
      </c>
      <c r="D36" s="2942"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0.6</v>
      </c>
      <c r="D37" s="2942"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1.4</v>
      </c>
      <c r="D38" s="1344" t="s">
        <v>1455</v>
      </c>
      <c r="E38" s="1342" t="s">
        <v>1418</v>
      </c>
      <c r="F38" s="1338">
        <f ca="1">INDIRECT("'数据-取费表'!Am"&amp;$G$1)</f>
        <v>1.4999999999999999E-2</v>
      </c>
      <c r="G38" s="1852"/>
      <c r="H38" s="1860"/>
      <c r="I38" s="1861"/>
      <c r="J38" s="1862"/>
      <c r="K38" s="1866"/>
      <c r="L38" s="1860"/>
      <c r="M38" s="1860"/>
    </row>
    <row r="39" spans="1:18" ht="24.6" customHeight="1" thickTop="1">
      <c r="A39" s="1331" t="s">
        <v>1028</v>
      </c>
      <c r="B39" s="1346" t="s">
        <v>1459</v>
      </c>
      <c r="C39" s="354">
        <f ca="1">C5-C30</f>
        <v>72</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1129</v>
      </c>
      <c r="D40" s="369" t="s">
        <v>1465</v>
      </c>
      <c r="E40" s="346" t="s">
        <v>1466</v>
      </c>
      <c r="F40" s="356">
        <f ca="1">INDIRECT("'数据-取费表'!I"&amp;$G$1)</f>
        <v>5.5E-2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37.049999999999997</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23521</v>
      </c>
      <c r="D43" s="382" t="s">
        <v>1484</v>
      </c>
      <c r="E43" s="383" t="s">
        <v>1485</v>
      </c>
      <c r="F43" s="384">
        <f ca="1">INDIRECT("'数据-取费表'!k"&amp;$G$1)</f>
        <v>480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-1584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3212</v>
      </c>
      <c r="K47" s="1883" t="s">
        <v>1523</v>
      </c>
      <c r="L47" s="1884">
        <f ca="1">INDIRECT("'数据-取费表'!d"&amp;$G$1)</f>
        <v>40</v>
      </c>
      <c r="M47" s="1839" t="str">
        <f>IF(ISNUMBER(FIND("住宅",C1)),"住宅","非住宅")</f>
        <v>非住宅</v>
      </c>
      <c r="O47" s="1885" t="s">
        <v>1037</v>
      </c>
      <c r="P47" s="1886" t="s">
        <v>1524</v>
      </c>
      <c r="Q47" s="1887">
        <f ca="1">C40+J29</f>
        <v>1129</v>
      </c>
      <c r="R47" s="1887" t="s">
        <v>1525</v>
      </c>
    </row>
    <row r="48" spans="1:18" s="1843" customFormat="1" ht="28.5" thickBot="1">
      <c r="A48" s="1362" t="s">
        <v>1132</v>
      </c>
      <c r="B48" s="344" t="s">
        <v>1397</v>
      </c>
      <c r="C48" s="2946">
        <f ca="1">C49+C53+C55</f>
        <v>0</v>
      </c>
      <c r="D48" s="1364"/>
      <c r="E48" s="1365"/>
      <c r="F48" s="1183"/>
      <c r="G48" s="791"/>
      <c r="H48" s="792"/>
      <c r="I48" s="1888" t="s">
        <v>1526</v>
      </c>
      <c r="J48" s="1889" t="s">
        <v>3213</v>
      </c>
      <c r="K48" s="1890" t="s">
        <v>1527</v>
      </c>
      <c r="L48" s="1891">
        <f ca="1">INDIRECT("'数据-取费表'!f"&amp;$G$1)</f>
        <v>38.65</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3013</v>
      </c>
      <c r="E49" s="1831" t="s">
        <v>1487</v>
      </c>
      <c r="F49" s="1283"/>
      <c r="G49" s="1892"/>
      <c r="H49" s="792"/>
      <c r="I49" s="1888" t="s">
        <v>1530</v>
      </c>
      <c r="J49" s="1893">
        <v>2019</v>
      </c>
      <c r="K49" s="1890" t="s">
        <v>1531</v>
      </c>
      <c r="L49" s="1894"/>
      <c r="O49" s="1895" t="s">
        <v>1039</v>
      </c>
      <c r="P49" s="1886" t="s">
        <v>1532</v>
      </c>
      <c r="Q49" s="1887">
        <f ca="1">C29</f>
        <v>283</v>
      </c>
      <c r="R49" s="1887" t="s">
        <v>1525</v>
      </c>
    </row>
    <row r="50" spans="1:18" s="1843" customFormat="1" ht="13.5" thickBot="1">
      <c r="A50" s="1197"/>
      <c r="B50" s="1200"/>
      <c r="C50" s="1370"/>
      <c r="D50" s="1174"/>
      <c r="E50" s="1279" t="s">
        <v>1402</v>
      </c>
      <c r="F50" s="1280">
        <f ca="1">F7</f>
        <v>480</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61</v>
      </c>
      <c r="K51" s="1901" t="s">
        <v>1537</v>
      </c>
      <c r="L51" s="1902">
        <f ca="1">ROUND(-PV(INDIRECT("'数据-取费表'!h"&amp;$G$1),L48,(C39-C13*C76),0),0)</f>
        <v>813</v>
      </c>
      <c r="M51" s="1903"/>
      <c r="O51" s="1895" t="s">
        <v>1041</v>
      </c>
      <c r="P51" s="1886" t="s">
        <v>1538</v>
      </c>
      <c r="Q51" s="1898">
        <f>J52</f>
        <v>0.09</v>
      </c>
      <c r="R51" s="1887"/>
    </row>
    <row r="52" spans="1:18" s="1843" customFormat="1" ht="13.5" thickBot="1">
      <c r="A52" s="1198"/>
      <c r="B52" s="1200"/>
      <c r="C52" s="1201"/>
      <c r="D52" s="1174"/>
      <c r="E52" s="1202" t="s">
        <v>1404</v>
      </c>
      <c r="F52" s="1277"/>
      <c r="I52" s="1904" t="s">
        <v>1539</v>
      </c>
      <c r="J52" s="1905">
        <v>0.09</v>
      </c>
      <c r="K52" s="1904" t="s">
        <v>1540</v>
      </c>
      <c r="L52" s="1905"/>
      <c r="O52" s="1895" t="s">
        <v>1042</v>
      </c>
      <c r="P52" s="1886" t="s">
        <v>1541</v>
      </c>
      <c r="Q52" s="1887">
        <f ca="1">J53</f>
        <v>37.049999999999997</v>
      </c>
      <c r="R52" s="1887" t="s">
        <v>1542</v>
      </c>
    </row>
    <row r="53" spans="1:18" s="1843" customFormat="1" ht="24.75" thickBot="1">
      <c r="A53" s="1407" t="s">
        <v>1134</v>
      </c>
      <c r="B53" s="1832" t="s">
        <v>1405</v>
      </c>
      <c r="C53" s="360">
        <f ca="1">ROUND(IF(F53="押一",C49/12*F11,IF(F53="押二",C49/12*2*F11,IF(F53="押三",C49/12*3*F11,C54*F11))),0)</f>
        <v>0</v>
      </c>
      <c r="D53" s="1825" t="s">
        <v>3022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37.049999999999997</v>
      </c>
      <c r="K53" s="3370" t="s">
        <v>1544</v>
      </c>
      <c r="L53" s="3371"/>
      <c r="O53" s="1885" t="s">
        <v>1043</v>
      </c>
      <c r="P53" s="1886" t="s">
        <v>1545</v>
      </c>
      <c r="Q53" s="1887">
        <f ca="1">Q47+Q48</f>
        <v>1129</v>
      </c>
      <c r="R53" s="1887" t="s">
        <v>1044</v>
      </c>
    </row>
    <row r="54" spans="1:18" s="1843" customFormat="1" ht="13.5" thickBot="1">
      <c r="A54" s="1408"/>
      <c r="B54" s="1826" t="s">
        <v>1384</v>
      </c>
      <c r="C54" s="1180"/>
      <c r="D54" s="1825"/>
      <c r="E54" s="294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45"/>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283</v>
      </c>
      <c r="D56" s="1915"/>
      <c r="E56" s="1916"/>
      <c r="F56" s="1908"/>
      <c r="I56" s="1917" t="s">
        <v>1550</v>
      </c>
      <c r="J56" s="1918" t="s">
        <v>3178</v>
      </c>
      <c r="K56" s="1888" t="s">
        <v>1551</v>
      </c>
      <c r="L56" s="1891" t="str">
        <f ca="1">IF(L48&lt;J51,"——",L48-J53)</f>
        <v>——</v>
      </c>
      <c r="O56" s="1885" t="s">
        <v>1037</v>
      </c>
      <c r="P56" s="1886" t="s">
        <v>1524</v>
      </c>
      <c r="Q56" s="1887">
        <f ca="1">C40+J29</f>
        <v>1129</v>
      </c>
      <c r="R56" s="1887" t="s">
        <v>1525</v>
      </c>
    </row>
    <row r="57" spans="1:18" s="1843" customFormat="1" ht="24.75" thickBot="1">
      <c r="A57" s="1919"/>
      <c r="B57" s="1171" t="s">
        <v>1474</v>
      </c>
      <c r="C57" s="281">
        <f ca="1">C29</f>
        <v>283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29</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23.8</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23.77</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0.03</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1129</v>
      </c>
      <c r="R62" s="1887" t="s">
        <v>1044</v>
      </c>
    </row>
    <row r="63" spans="1:18" s="1843" customFormat="1" ht="13.5" thickBot="1">
      <c r="A63" s="371"/>
      <c r="B63" s="1177"/>
      <c r="C63" s="29"/>
      <c r="D63" s="1187"/>
      <c r="E63" s="1171" t="s">
        <v>1443</v>
      </c>
      <c r="F63" s="347">
        <f t="shared" ca="1" si="0"/>
        <v>185.57000000000002</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4.2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0.6</v>
      </c>
      <c r="D65" s="1185" t="s">
        <v>1450</v>
      </c>
      <c r="E65" s="1171" t="s">
        <v>1418</v>
      </c>
      <c r="F65" s="375">
        <f t="shared" ca="1" si="0"/>
        <v>2E-3</v>
      </c>
      <c r="I65" s="1930" t="s">
        <v>1575</v>
      </c>
      <c r="J65" s="1931">
        <v>40</v>
      </c>
      <c r="K65" s="1931">
        <v>30</v>
      </c>
      <c r="L65" s="1931">
        <v>50</v>
      </c>
      <c r="M65" s="1933">
        <v>0.02</v>
      </c>
      <c r="O65" s="1885" t="s">
        <v>1037</v>
      </c>
      <c r="P65" s="1886" t="s">
        <v>1524</v>
      </c>
      <c r="Q65" s="1887">
        <f ca="1">C40+J29</f>
        <v>1129</v>
      </c>
      <c r="R65" s="1887" t="s">
        <v>1525</v>
      </c>
    </row>
    <row r="66" spans="1:18" s="1843" customFormat="1" ht="16.5" thickBot="1">
      <c r="A66" s="1203" t="s">
        <v>1500</v>
      </c>
      <c r="B66" s="1171" t="s">
        <v>1435</v>
      </c>
      <c r="C66" s="24">
        <f ca="1">ROUND(C48*F66,1)</f>
        <v>0</v>
      </c>
      <c r="D66" s="1185" t="s">
        <v>1455</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-29</v>
      </c>
      <c r="D67" s="1184" t="s">
        <v>1460</v>
      </c>
      <c r="E67" s="1189"/>
      <c r="F67" s="1190"/>
      <c r="O67" s="1895" t="s">
        <v>1039</v>
      </c>
      <c r="P67" s="1886" t="s">
        <v>1558</v>
      </c>
      <c r="Q67" s="1934">
        <f ca="1">L51</f>
        <v>813</v>
      </c>
      <c r="R67" s="1887" t="s">
        <v>1578</v>
      </c>
    </row>
    <row r="68" spans="1:18" s="1843" customFormat="1" ht="16.5" thickBot="1">
      <c r="A68" s="1168" t="s">
        <v>1029</v>
      </c>
      <c r="B68" s="1169" t="s">
        <v>1481</v>
      </c>
      <c r="C68" s="345">
        <f ca="1">ROUND(C67*(1-((1+F70)/(1+F68))^F69)/(F68-F70),0)</f>
        <v>-455</v>
      </c>
      <c r="D68" s="1186" t="s">
        <v>1465</v>
      </c>
      <c r="E68" s="1171" t="s">
        <v>1466</v>
      </c>
      <c r="F68" s="356">
        <f ca="1">F40</f>
        <v>5.5E-2</v>
      </c>
      <c r="O68" s="1895" t="s">
        <v>1040</v>
      </c>
      <c r="P68" s="1935" t="s">
        <v>1579</v>
      </c>
      <c r="Q68" s="1887">
        <f ca="1">ROUND(Q69-Q70*Q71,0)</f>
        <v>48</v>
      </c>
      <c r="R68" s="1887" t="s">
        <v>1048</v>
      </c>
    </row>
    <row r="69" spans="1:18" s="1843" customFormat="1" ht="13.5" thickBot="1">
      <c r="A69" s="1172"/>
      <c r="B69" s="1173"/>
      <c r="C69" s="350"/>
      <c r="D69" s="1191" t="s">
        <v>1469</v>
      </c>
      <c r="E69" s="1171" t="s">
        <v>1470</v>
      </c>
      <c r="F69" s="378">
        <f ca="1">F41</f>
        <v>37.049999999999997</v>
      </c>
      <c r="O69" s="1895" t="s">
        <v>1045</v>
      </c>
      <c r="P69" s="1935" t="s">
        <v>1580</v>
      </c>
      <c r="Q69" s="1887">
        <f ca="1">C39</f>
        <v>72</v>
      </c>
      <c r="R69" s="1887" t="s">
        <v>1525</v>
      </c>
    </row>
    <row r="70" spans="1:18" s="1843" customFormat="1" ht="13.5" thickBot="1">
      <c r="A70" s="1175"/>
      <c r="B70" s="1176"/>
      <c r="C70" s="354"/>
      <c r="D70" s="1187"/>
      <c r="E70" s="1171" t="s">
        <v>1473</v>
      </c>
      <c r="F70" s="1277"/>
      <c r="O70" s="1895" t="s">
        <v>1046</v>
      </c>
      <c r="P70" s="1935" t="s">
        <v>1581</v>
      </c>
      <c r="Q70" s="1887">
        <f ca="1">C13</f>
        <v>283</v>
      </c>
      <c r="R70" s="1887" t="s">
        <v>1525</v>
      </c>
    </row>
    <row r="71" spans="1:18" s="1843" customFormat="1" ht="13.5" thickBot="1">
      <c r="A71" s="1192" t="s">
        <v>1030</v>
      </c>
      <c r="B71" s="1193" t="s">
        <v>1483</v>
      </c>
      <c r="C71" s="381">
        <f ca="1">ROUND(C68*10000/F71,0)</f>
        <v>-9479</v>
      </c>
      <c r="D71" s="1194" t="s">
        <v>1484</v>
      </c>
      <c r="E71" s="1195" t="s">
        <v>1485</v>
      </c>
      <c r="F71" s="384">
        <f ca="1">F43</f>
        <v>480</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24</v>
      </c>
      <c r="D75" s="1843"/>
      <c r="E75" s="1843"/>
      <c r="F75" s="1843"/>
      <c r="K75" s="1869"/>
      <c r="L75" s="1843"/>
      <c r="O75" s="1885" t="s">
        <v>1043</v>
      </c>
      <c r="P75" s="1886" t="s">
        <v>1545</v>
      </c>
      <c r="Q75" s="1887">
        <f ca="1">Q65+Q66</f>
        <v>1129</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0.66700000000000004</v>
      </c>
    </row>
    <row r="80" spans="1:18">
      <c r="B80" s="385" t="s">
        <v>1507</v>
      </c>
      <c r="C80" s="317">
        <f ca="1">ROUND(C75/C39,3)</f>
        <v>0.33300000000000002</v>
      </c>
    </row>
    <row r="81" spans="2:3">
      <c r="B81" s="313" t="s">
        <v>1508</v>
      </c>
      <c r="C81" s="281"/>
    </row>
    <row r="82" spans="2:3">
      <c r="B82" s="316" t="s">
        <v>1509</v>
      </c>
      <c r="C82" s="318">
        <f ca="1">1-C83</f>
        <v>0.749</v>
      </c>
    </row>
    <row r="83" spans="2:3">
      <c r="B83" s="316" t="s">
        <v>1510</v>
      </c>
      <c r="C83" s="317">
        <f ca="1">ROUND(C13/C40,3)</f>
        <v>0.251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11" sqref="G1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3078</v>
      </c>
      <c r="D1" s="1821" t="s">
        <v>3209</v>
      </c>
      <c r="E1" s="1822" t="s">
        <v>1383</v>
      </c>
      <c r="F1" s="1285">
        <f ca="1">J53</f>
        <v>47.059999999999995</v>
      </c>
      <c r="G1" s="1837">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10450</v>
      </c>
      <c r="C2" s="1846" t="s">
        <v>1512</v>
      </c>
      <c r="D2" s="1846"/>
      <c r="E2" s="1847"/>
      <c r="F2" s="1848"/>
      <c r="G2" s="1849"/>
      <c r="H2" s="1841"/>
      <c r="I2" s="1841"/>
      <c r="J2" s="1841"/>
      <c r="K2" s="1842"/>
      <c r="L2" s="1841"/>
      <c r="M2" s="1841"/>
    </row>
    <row r="3" spans="1:37" ht="18" customHeight="1" thickBot="1">
      <c r="A3" s="1850" t="s">
        <v>1513</v>
      </c>
      <c r="B3" s="1851">
        <f ca="1">IF(ISERROR(B2*10000/F43),0,ROUND(B2*10000/F43,0))</f>
        <v>10273</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502</v>
      </c>
      <c r="D5" s="1823" t="s">
        <v>1398</v>
      </c>
      <c r="E5" s="1295"/>
      <c r="F5" s="1296"/>
      <c r="G5" s="1852"/>
      <c r="H5" s="343">
        <v>1</v>
      </c>
      <c r="I5" s="344" t="s">
        <v>1397</v>
      </c>
      <c r="J5" s="1294">
        <f ca="1">J6+J10+J12</f>
        <v>0</v>
      </c>
      <c r="K5" s="1823" t="s">
        <v>1398</v>
      </c>
      <c r="L5" s="1295"/>
      <c r="M5" s="1296"/>
    </row>
    <row r="6" spans="1:37" ht="18" customHeight="1">
      <c r="A6" s="1293" t="s">
        <v>1032</v>
      </c>
      <c r="B6" s="3372" t="s">
        <v>1399</v>
      </c>
      <c r="C6" s="1298">
        <f ca="1">ROUND(F6*F8*F7*(1-F9)/10000,0)</f>
        <v>501</v>
      </c>
      <c r="D6" s="163" t="s">
        <v>3014</v>
      </c>
      <c r="E6" s="346" t="s">
        <v>1401</v>
      </c>
      <c r="F6" s="347">
        <f ca="1">INDIRECT("'数据-取费表'!u"&amp;$G$1)</f>
        <v>1.5</v>
      </c>
      <c r="G6" s="1852"/>
      <c r="H6" s="1293" t="s">
        <v>1032</v>
      </c>
      <c r="I6" s="3372" t="s">
        <v>1399</v>
      </c>
      <c r="J6" s="345">
        <f ca="1">ROUND(M6*M8*M7*(1-M9)/10000,0)</f>
        <v>0</v>
      </c>
      <c r="K6" s="163" t="s">
        <v>3013</v>
      </c>
      <c r="L6" s="346" t="s">
        <v>1401</v>
      </c>
      <c r="M6" s="347">
        <f ca="1">INDIRECT("'数据-取费表'!z"&amp;$G$1)</f>
        <v>0</v>
      </c>
    </row>
    <row r="7" spans="1:37" ht="18" customHeight="1">
      <c r="A7" s="1297"/>
      <c r="B7" s="3373"/>
      <c r="C7" s="1299"/>
      <c r="D7" s="351"/>
      <c r="E7" s="2949" t="s">
        <v>1402</v>
      </c>
      <c r="F7" s="347">
        <f ca="1">IF(INDIRECT("'数据-取费表'!ah"&amp;$G$1)="",INDIRECT("'数据-取费表'!k"&amp;$G$1),INDIRECT("'数据-取费表'!ah"&amp;$G$1))</f>
        <v>10172.129999999999</v>
      </c>
      <c r="G7" s="1852"/>
      <c r="H7" s="348"/>
      <c r="I7" s="3373"/>
      <c r="J7" s="350"/>
      <c r="K7" s="351"/>
      <c r="L7" s="346" t="s">
        <v>1402</v>
      </c>
      <c r="M7" s="347">
        <f ca="1">F7</f>
        <v>10172.129999999999</v>
      </c>
    </row>
    <row r="8" spans="1:37" ht="18" customHeight="1">
      <c r="A8" s="348"/>
      <c r="B8" s="3373"/>
      <c r="C8" s="350"/>
      <c r="D8" s="351"/>
      <c r="E8" s="346" t="s">
        <v>1403</v>
      </c>
      <c r="F8" s="347">
        <f ca="1">INDIRECT("'数据-取费表'!ai"&amp;$G$1)</f>
        <v>365</v>
      </c>
      <c r="G8" s="1852"/>
      <c r="H8" s="348"/>
      <c r="I8" s="3373"/>
      <c r="J8" s="350"/>
      <c r="K8" s="351"/>
      <c r="L8" s="346" t="s">
        <v>1403</v>
      </c>
      <c r="M8" s="347">
        <f ca="1">INDIRECT("'数据-取费表'!ai"&amp;$G$1)</f>
        <v>365</v>
      </c>
    </row>
    <row r="9" spans="1:37" ht="18" customHeight="1">
      <c r="A9" s="348"/>
      <c r="B9" s="3374"/>
      <c r="C9" s="350"/>
      <c r="D9" s="351"/>
      <c r="E9" s="346" t="s">
        <v>1404</v>
      </c>
      <c r="F9" s="356">
        <f ca="1">INDIRECT("'数据-取费表'!w"&amp;$G$1)</f>
        <v>0.1</v>
      </c>
      <c r="G9" s="1852"/>
      <c r="H9" s="348"/>
      <c r="I9" s="3374"/>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3022</v>
      </c>
      <c r="E10" s="357" t="s">
        <v>1406</v>
      </c>
      <c r="F10" s="1368" t="s">
        <v>3211</v>
      </c>
      <c r="G10" s="1852"/>
      <c r="H10" s="1293" t="s">
        <v>1036</v>
      </c>
      <c r="I10" s="1824" t="s">
        <v>1405</v>
      </c>
      <c r="J10" s="345">
        <f ca="1">ROUND(IF(M10="押一",J6/12*M11,IF(M10="押二",J6/12*2*M11,IF(M10="押三",J6/12*3*M11,J11*M11))),0)</f>
        <v>0</v>
      </c>
      <c r="K10" s="1825" t="s">
        <v>3022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3405</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2495</v>
      </c>
      <c r="D14" s="2943" t="s">
        <v>1414</v>
      </c>
      <c r="E14" s="2941"/>
      <c r="F14" s="363"/>
      <c r="G14" s="1852"/>
      <c r="H14" s="1203" t="s">
        <v>1032</v>
      </c>
      <c r="I14" s="346" t="s">
        <v>1415</v>
      </c>
      <c r="J14" s="24">
        <f ca="1">C29</f>
        <v>3405</v>
      </c>
      <c r="K14" s="2948"/>
      <c r="L14" s="981"/>
      <c r="M14" s="982"/>
    </row>
    <row r="15" spans="1:37" s="1859" customFormat="1" ht="18" customHeight="1" thickBot="1">
      <c r="A15" s="1203" t="s">
        <v>1033</v>
      </c>
      <c r="B15" s="346" t="s">
        <v>1416</v>
      </c>
      <c r="C15" s="24">
        <f ca="1">ROUND(C14*F15,0)</f>
        <v>75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80</v>
      </c>
      <c r="K16" s="1339" t="s">
        <v>1421</v>
      </c>
      <c r="L16" s="2944"/>
      <c r="M16" s="1296"/>
    </row>
    <row r="17" spans="1:37" s="1859" customFormat="1" ht="18" customHeight="1">
      <c r="A17" s="1203" t="s">
        <v>1386</v>
      </c>
      <c r="B17" s="346" t="s">
        <v>1422</v>
      </c>
      <c r="C17" s="24">
        <f ca="1">ROUND(F17*(F43+INDIRECT("'数据-取费表'!S"&amp;$G$1))/10000,0)</f>
        <v>208</v>
      </c>
      <c r="D17" s="346" t="s">
        <v>1423</v>
      </c>
      <c r="E17" s="346" t="s">
        <v>1424</v>
      </c>
      <c r="F17" s="26">
        <f>'数据-取费表'!B35</f>
        <v>200</v>
      </c>
      <c r="G17" s="1855"/>
      <c r="H17" s="1203" t="s">
        <v>1032</v>
      </c>
      <c r="I17" s="346" t="s">
        <v>1425</v>
      </c>
      <c r="J17" s="24">
        <f ca="1">ROUND(IF(项目基本情况!B11="自然人",J5*M17,J18+J19+J20),1)</f>
        <v>29.2</v>
      </c>
      <c r="K17" s="2943" t="s">
        <v>1426</v>
      </c>
      <c r="L17" s="2942"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37</v>
      </c>
      <c r="D18" s="346" t="s">
        <v>1417</v>
      </c>
      <c r="E18" s="346" t="s">
        <v>1418</v>
      </c>
      <c r="F18" s="366">
        <f>'数据-取费表'!B36</f>
        <v>1.4999999999999999E-2</v>
      </c>
      <c r="G18" s="1855"/>
      <c r="H18" s="1203" t="s">
        <v>1031</v>
      </c>
      <c r="I18" s="346" t="s">
        <v>1429</v>
      </c>
      <c r="J18" s="24">
        <f ca="1">ROUND(J5*M18/(1+'数据-取费表'!C42),2)</f>
        <v>0</v>
      </c>
      <c r="K18" s="2942"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2815</v>
      </c>
      <c r="D19" s="139" t="s">
        <v>1432</v>
      </c>
      <c r="E19" s="2947"/>
      <c r="F19" s="26"/>
      <c r="G19" s="1852"/>
      <c r="H19" s="1203" t="s">
        <v>1033</v>
      </c>
      <c r="I19" s="346" t="s">
        <v>1433</v>
      </c>
      <c r="J19" s="24">
        <f ca="1">IF(K19="按租金收入计税",ROUND(J5*M19,2),ROUND(C29*M19*0.7,2))</f>
        <v>28.6</v>
      </c>
      <c r="K19" s="1829" t="s">
        <v>1434</v>
      </c>
      <c r="L19" s="346" t="s">
        <v>1418</v>
      </c>
      <c r="M19" s="366">
        <f>IF(K19="按租金收入计税",'数据-取费表'!B51,'数据-取费表'!B50)</f>
        <v>1.2E-2</v>
      </c>
    </row>
    <row r="20" spans="1:37" s="1859" customFormat="1" ht="18" customHeight="1">
      <c r="A20" s="1203" t="s">
        <v>1036</v>
      </c>
      <c r="B20" s="346" t="s">
        <v>1435</v>
      </c>
      <c r="C20" s="24">
        <f ca="1">ROUND(C19*F20,0)</f>
        <v>56</v>
      </c>
      <c r="D20" s="368" t="s">
        <v>1436</v>
      </c>
      <c r="E20" s="346" t="s">
        <v>1418</v>
      </c>
      <c r="F20" s="366">
        <f>'数据-取费表'!B37</f>
        <v>0.02</v>
      </c>
      <c r="G20" s="1855"/>
      <c r="H20" s="1203" t="s">
        <v>1385</v>
      </c>
      <c r="I20" s="163" t="s">
        <v>1437</v>
      </c>
      <c r="J20" s="25">
        <f ca="1">ROUND(M20*M21/10000,2)</f>
        <v>0.59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3932.6800000000003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7"/>
      <c r="F22" s="26"/>
      <c r="G22" s="1852"/>
      <c r="H22" s="1203" t="s">
        <v>1036</v>
      </c>
      <c r="I22" s="346" t="s">
        <v>1445</v>
      </c>
      <c r="J22" s="24">
        <f ca="1">ROUND(J14*M22,1)</f>
        <v>51.1</v>
      </c>
      <c r="K22" s="2942"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137</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2" t="s">
        <v>1450</v>
      </c>
      <c r="L23" s="346" t="s">
        <v>1418</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7"/>
      <c r="F25" s="26"/>
      <c r="G25" s="1852"/>
      <c r="H25" s="1331" t="s">
        <v>1028</v>
      </c>
      <c r="I25" s="1346" t="s">
        <v>1459</v>
      </c>
      <c r="J25" s="354">
        <f ca="1">J5-J16</f>
        <v>-80</v>
      </c>
      <c r="K25" s="1347" t="s">
        <v>1460</v>
      </c>
      <c r="L25" s="1348"/>
      <c r="M25" s="1349"/>
    </row>
    <row r="26" spans="1:37">
      <c r="A26" s="1203" t="s">
        <v>1031</v>
      </c>
      <c r="B26" s="346" t="s">
        <v>1461</v>
      </c>
      <c r="C26" s="24">
        <f ca="1">ROUND((C19+C20)*F26,0)</f>
        <v>144</v>
      </c>
      <c r="D26" s="368" t="s">
        <v>1462</v>
      </c>
      <c r="E26" s="357" t="s">
        <v>1463</v>
      </c>
      <c r="F26" s="356">
        <f ca="1">INDIRECT("'数据-取费表'!q"&amp;$G$1)</f>
        <v>0.05</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3405</v>
      </c>
      <c r="D29" s="1344"/>
      <c r="E29" s="1342"/>
      <c r="F29" s="1345"/>
      <c r="G29" s="1855"/>
      <c r="H29" s="379" t="s">
        <v>1030</v>
      </c>
      <c r="I29" s="380" t="s">
        <v>1475</v>
      </c>
      <c r="J29" s="381">
        <f ca="1">ROUND(J26/(1+F40)^F41,0)</f>
        <v>0</v>
      </c>
      <c r="K29" s="382" t="s">
        <v>1476</v>
      </c>
      <c r="L29" s="383"/>
      <c r="M29" s="384">
        <f ca="1">INDIRECT("'数据-取费表'!k"&amp;$G$1)</f>
        <v>10172.129999999999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151</v>
      </c>
      <c r="D30" s="1339" t="s">
        <v>1421</v>
      </c>
      <c r="E30" s="2944"/>
      <c r="F30" s="1296"/>
      <c r="G30" s="1852"/>
      <c r="H30" s="744"/>
      <c r="I30" s="745"/>
      <c r="J30" s="746"/>
      <c r="K30" s="747"/>
      <c r="L30" s="748"/>
      <c r="M30" s="749"/>
    </row>
    <row r="31" spans="1:37" ht="18" customHeight="1">
      <c r="A31" s="1203" t="s">
        <v>1032</v>
      </c>
      <c r="B31" s="346" t="s">
        <v>1425</v>
      </c>
      <c r="C31" s="24">
        <f ca="1">ROUND(IF(项目基本情况!B11="自然人",C5*F31,C32+C33+C34),1)</f>
        <v>87.1</v>
      </c>
      <c r="D31" s="2943" t="s">
        <v>1426</v>
      </c>
      <c r="E31" s="2942"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26.3</v>
      </c>
      <c r="D32" s="2942"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60.24</v>
      </c>
      <c r="D33" s="1829" t="s">
        <v>3210</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3932.6800000000003</v>
      </c>
      <c r="G35" s="1852"/>
      <c r="H35" s="744"/>
      <c r="I35" s="1861"/>
      <c r="J35" s="1862"/>
      <c r="K35" s="1863"/>
      <c r="L35" s="1860"/>
      <c r="M35" s="1860"/>
    </row>
    <row r="36" spans="1:18" ht="18" customHeight="1">
      <c r="A36" s="1354" t="s">
        <v>1036</v>
      </c>
      <c r="B36" s="346" t="s">
        <v>1445</v>
      </c>
      <c r="C36" s="24">
        <f ca="1">ROUND(C29*F36,1)</f>
        <v>51.1</v>
      </c>
      <c r="D36" s="2942"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5.0999999999999996</v>
      </c>
      <c r="D37" s="2942" t="s">
        <v>1450</v>
      </c>
      <c r="E37" s="346" t="s">
        <v>1418</v>
      </c>
      <c r="F37" s="375">
        <f ca="1">INDIRECT("'数据-取费表'!Al"&amp;$G$1)</f>
        <v>1.5E-3</v>
      </c>
      <c r="G37" s="1852"/>
      <c r="H37" s="1860"/>
      <c r="I37" s="1861"/>
      <c r="J37" s="1862"/>
      <c r="K37" s="750"/>
      <c r="L37" s="1860"/>
      <c r="M37" s="1860"/>
    </row>
    <row r="38" spans="1:18" ht="18" customHeight="1" thickBot="1">
      <c r="A38" s="1341" t="s">
        <v>1388</v>
      </c>
      <c r="B38" s="1342" t="s">
        <v>1435</v>
      </c>
      <c r="C38" s="1343">
        <f ca="1">ROUND(C5*F38,1)</f>
        <v>7.5</v>
      </c>
      <c r="D38" s="1344" t="s">
        <v>1455</v>
      </c>
      <c r="E38" s="1342" t="s">
        <v>1418</v>
      </c>
      <c r="F38" s="1338">
        <f ca="1">INDIRECT("'数据-取费表'!Am"&amp;$G$1)</f>
        <v>1.4999999999999999E-2</v>
      </c>
      <c r="G38" s="1852"/>
      <c r="H38" s="1860"/>
      <c r="I38" s="1861"/>
      <c r="J38" s="1862"/>
      <c r="K38" s="1866"/>
      <c r="L38" s="1860"/>
      <c r="M38" s="1860"/>
    </row>
    <row r="39" spans="1:18" ht="24.6" customHeight="1" thickTop="1">
      <c r="A39" s="1331" t="s">
        <v>1028</v>
      </c>
      <c r="B39" s="1346" t="s">
        <v>1459</v>
      </c>
      <c r="C39" s="354">
        <f ca="1">C5-C30</f>
        <v>351</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10450</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47.059999999999995</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10273</v>
      </c>
      <c r="D43" s="382" t="s">
        <v>1484</v>
      </c>
      <c r="E43" s="383" t="s">
        <v>1485</v>
      </c>
      <c r="F43" s="384">
        <f ca="1">INDIRECT("'数据-取费表'!k"&amp;$G$1)</f>
        <v>10172.129999999999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-16620</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3212</v>
      </c>
      <c r="K47" s="1883" t="s">
        <v>1523</v>
      </c>
      <c r="L47" s="1884">
        <f ca="1">INDIRECT("'数据-取费表'!d"&amp;$G$1)</f>
        <v>50</v>
      </c>
      <c r="M47" s="1839" t="str">
        <f>IF(ISNUMBER(FIND("住宅",C1)),"住宅","非住宅")</f>
        <v>非住宅</v>
      </c>
      <c r="O47" s="1885" t="s">
        <v>1037</v>
      </c>
      <c r="P47" s="1886" t="s">
        <v>1524</v>
      </c>
      <c r="Q47" s="1887">
        <f ca="1">C40+J29</f>
        <v>10450</v>
      </c>
      <c r="R47" s="1887" t="s">
        <v>1525</v>
      </c>
    </row>
    <row r="48" spans="1:18" s="1843" customFormat="1" ht="28.5" thickBot="1">
      <c r="A48" s="1362" t="s">
        <v>1132</v>
      </c>
      <c r="B48" s="344" t="s">
        <v>1397</v>
      </c>
      <c r="C48" s="2946">
        <f ca="1">C49+C53+C55</f>
        <v>0</v>
      </c>
      <c r="D48" s="1364"/>
      <c r="E48" s="1365"/>
      <c r="F48" s="1183"/>
      <c r="G48" s="791"/>
      <c r="H48" s="792"/>
      <c r="I48" s="1888" t="s">
        <v>1526</v>
      </c>
      <c r="J48" s="1889" t="s">
        <v>3213</v>
      </c>
      <c r="K48" s="1890" t="s">
        <v>1527</v>
      </c>
      <c r="L48" s="1891">
        <f ca="1">INDIRECT("'数据-取费表'!f"&amp;$G$1)</f>
        <v>48.66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3013</v>
      </c>
      <c r="E49" s="1831" t="s">
        <v>1487</v>
      </c>
      <c r="F49" s="1283"/>
      <c r="G49" s="1892"/>
      <c r="H49" s="792"/>
      <c r="I49" s="1888" t="s">
        <v>1530</v>
      </c>
      <c r="J49" s="1893">
        <v>2019</v>
      </c>
      <c r="K49" s="1890" t="s">
        <v>1531</v>
      </c>
      <c r="L49" s="1894"/>
      <c r="O49" s="1895" t="s">
        <v>1039</v>
      </c>
      <c r="P49" s="1886" t="s">
        <v>1532</v>
      </c>
      <c r="Q49" s="1887">
        <f ca="1">C29</f>
        <v>3405</v>
      </c>
      <c r="R49" s="1887" t="s">
        <v>1525</v>
      </c>
    </row>
    <row r="50" spans="1:18" s="1843" customFormat="1" ht="13.5" thickBot="1">
      <c r="A50" s="1197"/>
      <c r="B50" s="1200"/>
      <c r="C50" s="1370"/>
      <c r="D50" s="1174"/>
      <c r="E50" s="1279" t="s">
        <v>1402</v>
      </c>
      <c r="F50" s="1280">
        <f ca="1">F7</f>
        <v>10172.129999999999</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61</v>
      </c>
      <c r="K51" s="1901" t="s">
        <v>1537</v>
      </c>
      <c r="L51" s="1902">
        <f ca="1">ROUND(-PV(INDIRECT("'数据-取费表'!h"&amp;$G$1),L48,(C39-C13*C76),0),0)</f>
        <v>1208</v>
      </c>
      <c r="M51" s="1903"/>
      <c r="O51" s="1895" t="s">
        <v>1041</v>
      </c>
      <c r="P51" s="1886" t="s">
        <v>1538</v>
      </c>
      <c r="Q51" s="1898">
        <f>J52</f>
        <v>0.09</v>
      </c>
      <c r="R51" s="1887"/>
    </row>
    <row r="52" spans="1:18" s="1843" customFormat="1" ht="13.5" thickBot="1">
      <c r="A52" s="1198"/>
      <c r="B52" s="1200"/>
      <c r="C52" s="1201"/>
      <c r="D52" s="1174"/>
      <c r="E52" s="1202" t="s">
        <v>1404</v>
      </c>
      <c r="F52" s="1277"/>
      <c r="I52" s="1904" t="s">
        <v>1539</v>
      </c>
      <c r="J52" s="1905">
        <v>0.09</v>
      </c>
      <c r="K52" s="1904" t="s">
        <v>1540</v>
      </c>
      <c r="L52" s="1905"/>
      <c r="O52" s="1895" t="s">
        <v>1042</v>
      </c>
      <c r="P52" s="1886" t="s">
        <v>1541</v>
      </c>
      <c r="Q52" s="1887">
        <f ca="1">J53</f>
        <v>47.059999999999995</v>
      </c>
      <c r="R52" s="1887" t="s">
        <v>1542</v>
      </c>
    </row>
    <row r="53" spans="1:18" s="1843" customFormat="1" ht="24.75" thickBot="1">
      <c r="A53" s="1407" t="s">
        <v>1134</v>
      </c>
      <c r="B53" s="1832" t="s">
        <v>1405</v>
      </c>
      <c r="C53" s="360">
        <f ca="1">ROUND(IF(F53="押一",C49/12*F11,IF(F53="押二",C49/12*2*F11,IF(F53="押三",C49/12*3*F11,C54*F11))),0)</f>
        <v>0</v>
      </c>
      <c r="D53" s="1825" t="s">
        <v>3022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47.059999999999995</v>
      </c>
      <c r="K53" s="3370" t="s">
        <v>1544</v>
      </c>
      <c r="L53" s="3371"/>
      <c r="O53" s="1885" t="s">
        <v>1043</v>
      </c>
      <c r="P53" s="1886" t="s">
        <v>1545</v>
      </c>
      <c r="Q53" s="1887">
        <f ca="1">Q47+Q48</f>
        <v>10450</v>
      </c>
      <c r="R53" s="1887" t="s">
        <v>1044</v>
      </c>
    </row>
    <row r="54" spans="1:18" s="1843" customFormat="1" ht="13.5" thickBot="1">
      <c r="A54" s="1408"/>
      <c r="B54" s="1826" t="s">
        <v>1384</v>
      </c>
      <c r="C54" s="1180"/>
      <c r="D54" s="1825"/>
      <c r="E54" s="294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45"/>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3405</v>
      </c>
      <c r="D56" s="1915"/>
      <c r="E56" s="1916"/>
      <c r="F56" s="1908"/>
      <c r="I56" s="1917" t="s">
        <v>1550</v>
      </c>
      <c r="J56" s="1918" t="s">
        <v>3178</v>
      </c>
      <c r="K56" s="1888" t="s">
        <v>1551</v>
      </c>
      <c r="L56" s="1891" t="str">
        <f ca="1">IF(L48&lt;J51,"——",L48-J53)</f>
        <v>——</v>
      </c>
      <c r="O56" s="1885" t="s">
        <v>1037</v>
      </c>
      <c r="P56" s="1886" t="s">
        <v>1524</v>
      </c>
      <c r="Q56" s="1887">
        <f ca="1">C40+J29</f>
        <v>10450</v>
      </c>
      <c r="R56" s="1887" t="s">
        <v>1525</v>
      </c>
    </row>
    <row r="57" spans="1:18" s="1843" customFormat="1" ht="24.75" thickBot="1">
      <c r="A57" s="1919"/>
      <c r="B57" s="1171" t="s">
        <v>1474</v>
      </c>
      <c r="C57" s="281">
        <f ca="1">C29</f>
        <v>3405</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343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286.60000000000002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286.02</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0.59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10450</v>
      </c>
      <c r="R62" s="1887" t="s">
        <v>1044</v>
      </c>
    </row>
    <row r="63" spans="1:18" s="1843" customFormat="1" ht="13.5" thickBot="1">
      <c r="A63" s="371"/>
      <c r="B63" s="1177"/>
      <c r="C63" s="29"/>
      <c r="D63" s="1187"/>
      <c r="E63" s="1171" t="s">
        <v>1443</v>
      </c>
      <c r="F63" s="347">
        <f t="shared" ca="1" si="0"/>
        <v>3932.6800000000003</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51.1</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5.0999999999999996</v>
      </c>
      <c r="D65" s="1185" t="s">
        <v>1450</v>
      </c>
      <c r="E65" s="1171" t="s">
        <v>1418</v>
      </c>
      <c r="F65" s="375">
        <f t="shared" ca="1" si="0"/>
        <v>1.5E-3</v>
      </c>
      <c r="I65" s="1930" t="s">
        <v>1575</v>
      </c>
      <c r="J65" s="1931">
        <v>40</v>
      </c>
      <c r="K65" s="1931">
        <v>30</v>
      </c>
      <c r="L65" s="1931">
        <v>50</v>
      </c>
      <c r="M65" s="1933">
        <v>0.02</v>
      </c>
      <c r="O65" s="1885" t="s">
        <v>1037</v>
      </c>
      <c r="P65" s="1886" t="s">
        <v>1524</v>
      </c>
      <c r="Q65" s="1887">
        <f ca="1">C40+J29</f>
        <v>10450</v>
      </c>
      <c r="R65" s="1887" t="s">
        <v>1525</v>
      </c>
    </row>
    <row r="66" spans="1:18" s="1843" customFormat="1" ht="16.5" thickBot="1">
      <c r="A66" s="1203" t="s">
        <v>1500</v>
      </c>
      <c r="B66" s="1171" t="s">
        <v>1435</v>
      </c>
      <c r="C66" s="24">
        <f ca="1">ROUND(C48*F66,1)</f>
        <v>0</v>
      </c>
      <c r="D66" s="1185" t="s">
        <v>1455</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-343</v>
      </c>
      <c r="D67" s="1184" t="s">
        <v>1460</v>
      </c>
      <c r="E67" s="1189"/>
      <c r="F67" s="1190"/>
      <c r="O67" s="1895" t="s">
        <v>1039</v>
      </c>
      <c r="P67" s="1886" t="s">
        <v>1558</v>
      </c>
      <c r="Q67" s="1934">
        <f ca="1">L51</f>
        <v>1208</v>
      </c>
      <c r="R67" s="1887" t="s">
        <v>1578</v>
      </c>
    </row>
    <row r="68" spans="1:18" s="1843" customFormat="1" ht="16.5" thickBot="1">
      <c r="A68" s="1168" t="s">
        <v>1029</v>
      </c>
      <c r="B68" s="1169" t="s">
        <v>1481</v>
      </c>
      <c r="C68" s="345">
        <f ca="1">ROUND(C67*(1-((1+F70)/(1+F68))^F69)/(F68-F70),0)</f>
        <v>-6170</v>
      </c>
      <c r="D68" s="1186" t="s">
        <v>1465</v>
      </c>
      <c r="E68" s="1171" t="s">
        <v>1466</v>
      </c>
      <c r="F68" s="356">
        <f ca="1">F40</f>
        <v>0.05</v>
      </c>
      <c r="O68" s="1895" t="s">
        <v>1040</v>
      </c>
      <c r="P68" s="1935" t="s">
        <v>1579</v>
      </c>
      <c r="Q68" s="1887">
        <f ca="1">ROUND(Q69-Q70*Q71,0)</f>
        <v>62</v>
      </c>
      <c r="R68" s="1887" t="s">
        <v>1048</v>
      </c>
    </row>
    <row r="69" spans="1:18" s="1843" customFormat="1" ht="13.5" thickBot="1">
      <c r="A69" s="1172"/>
      <c r="B69" s="1173"/>
      <c r="C69" s="350"/>
      <c r="D69" s="1191" t="s">
        <v>1469</v>
      </c>
      <c r="E69" s="1171" t="s">
        <v>1470</v>
      </c>
      <c r="F69" s="378">
        <f ca="1">F41</f>
        <v>47.059999999999995</v>
      </c>
      <c r="O69" s="1895" t="s">
        <v>1045</v>
      </c>
      <c r="P69" s="1935" t="s">
        <v>1580</v>
      </c>
      <c r="Q69" s="1887">
        <f ca="1">C39</f>
        <v>351</v>
      </c>
      <c r="R69" s="1887" t="s">
        <v>1525</v>
      </c>
    </row>
    <row r="70" spans="1:18" s="1843" customFormat="1" ht="13.5" thickBot="1">
      <c r="A70" s="1175"/>
      <c r="B70" s="1176"/>
      <c r="C70" s="354"/>
      <c r="D70" s="1187"/>
      <c r="E70" s="1171" t="s">
        <v>1473</v>
      </c>
      <c r="F70" s="1277"/>
      <c r="O70" s="1895" t="s">
        <v>1046</v>
      </c>
      <c r="P70" s="1935" t="s">
        <v>1581</v>
      </c>
      <c r="Q70" s="1887">
        <f ca="1">C13</f>
        <v>3405</v>
      </c>
      <c r="R70" s="1887" t="s">
        <v>1525</v>
      </c>
    </row>
    <row r="71" spans="1:18" s="1843" customFormat="1" ht="13.5" thickBot="1">
      <c r="A71" s="1192" t="s">
        <v>1030</v>
      </c>
      <c r="B71" s="1193" t="s">
        <v>1483</v>
      </c>
      <c r="C71" s="381">
        <f ca="1">ROUND(C68*10000/F71,0)</f>
        <v>-6066</v>
      </c>
      <c r="D71" s="1194" t="s">
        <v>1484</v>
      </c>
      <c r="E71" s="1195" t="s">
        <v>1485</v>
      </c>
      <c r="F71" s="384">
        <f ca="1">F43</f>
        <v>10172.129999999999</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289</v>
      </c>
      <c r="D75" s="1843"/>
      <c r="E75" s="1843"/>
      <c r="F75" s="1843"/>
      <c r="K75" s="1869"/>
      <c r="L75" s="1843"/>
      <c r="O75" s="1885" t="s">
        <v>1043</v>
      </c>
      <c r="P75" s="1886" t="s">
        <v>1545</v>
      </c>
      <c r="Q75" s="1887">
        <f ca="1">Q65+Q66</f>
        <v>10450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0.17700000000000005</v>
      </c>
    </row>
    <row r="80" spans="1:18">
      <c r="B80" s="385" t="s">
        <v>1507</v>
      </c>
      <c r="C80" s="317">
        <f ca="1">ROUND(C75/C39,3)</f>
        <v>0.82299999999999995</v>
      </c>
    </row>
    <row r="81" spans="2:3">
      <c r="B81" s="313" t="s">
        <v>1508</v>
      </c>
      <c r="C81" s="281"/>
    </row>
    <row r="82" spans="2:3">
      <c r="B82" s="316" t="s">
        <v>1509</v>
      </c>
      <c r="C82" s="318">
        <f ca="1">1-C83</f>
        <v>0.67399999999999993</v>
      </c>
    </row>
    <row r="83" spans="2:3">
      <c r="B83" s="316" t="s">
        <v>1510</v>
      </c>
      <c r="C83" s="317">
        <f ca="1">ROUND(C13/C40,3)</f>
        <v>0.32600000000000001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35" sqref="G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48</v>
      </c>
      <c r="D1" s="1821" t="s">
        <v>3209</v>
      </c>
      <c r="E1" s="1822" t="s">
        <v>1383</v>
      </c>
      <c r="F1" s="1285">
        <f ca="1">J53</f>
        <v>47.059999999999995</v>
      </c>
      <c r="G1" s="1837">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22658</v>
      </c>
      <c r="C2" s="1846" t="s">
        <v>1512</v>
      </c>
      <c r="D2" s="1846"/>
      <c r="E2" s="1847"/>
      <c r="F2" s="1848"/>
      <c r="G2" s="1849"/>
      <c r="H2" s="1841"/>
      <c r="I2" s="1841"/>
      <c r="J2" s="1841"/>
      <c r="K2" s="1842"/>
      <c r="L2" s="1841"/>
      <c r="M2" s="1841"/>
    </row>
    <row r="3" spans="1:37" ht="18" customHeight="1" thickBot="1">
      <c r="A3" s="1850" t="s">
        <v>1513</v>
      </c>
      <c r="B3" s="1851">
        <f ca="1">IF(ISERROR(B2*10000/F43),0,ROUND(B2*10000/F43,0))</f>
        <v>6286</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1184</v>
      </c>
      <c r="D5" s="1823" t="s">
        <v>1398</v>
      </c>
      <c r="E5" s="1295"/>
      <c r="F5" s="1296"/>
      <c r="G5" s="1852"/>
      <c r="H5" s="343">
        <v>1</v>
      </c>
      <c r="I5" s="344" t="s">
        <v>1397</v>
      </c>
      <c r="J5" s="1294">
        <f ca="1">J6+J10+J12</f>
        <v>0</v>
      </c>
      <c r="K5" s="1823" t="s">
        <v>1398</v>
      </c>
      <c r="L5" s="1295"/>
      <c r="M5" s="1296"/>
    </row>
    <row r="6" spans="1:37" ht="18" customHeight="1">
      <c r="A6" s="1293" t="s">
        <v>1032</v>
      </c>
      <c r="B6" s="3372" t="s">
        <v>1399</v>
      </c>
      <c r="C6" s="1298">
        <f ca="1">ROUND(F6*F8*F7*(1-F9)/10000,0)</f>
        <v>1184</v>
      </c>
      <c r="D6" s="163" t="s">
        <v>3014</v>
      </c>
      <c r="E6" s="346" t="s">
        <v>1401</v>
      </c>
      <c r="F6" s="347">
        <f ca="1">INDIRECT("'数据-取费表'!u"&amp;$G$1)</f>
        <v>1</v>
      </c>
      <c r="G6" s="1852"/>
      <c r="H6" s="1293" t="s">
        <v>1032</v>
      </c>
      <c r="I6" s="3372" t="s">
        <v>1399</v>
      </c>
      <c r="J6" s="345">
        <f ca="1">ROUND(M6*M8*M7*(1-M9)/10000,0)</f>
        <v>0</v>
      </c>
      <c r="K6" s="163" t="s">
        <v>3013</v>
      </c>
      <c r="L6" s="346" t="s">
        <v>1401</v>
      </c>
      <c r="M6" s="347">
        <f ca="1">INDIRECT("'数据-取费表'!z"&amp;$G$1)</f>
        <v>0</v>
      </c>
    </row>
    <row r="7" spans="1:37" ht="18" customHeight="1">
      <c r="A7" s="1297"/>
      <c r="B7" s="3373"/>
      <c r="C7" s="1299"/>
      <c r="D7" s="351"/>
      <c r="E7" s="2949" t="s">
        <v>1402</v>
      </c>
      <c r="F7" s="347">
        <f ca="1">IF(INDIRECT("'数据-取费表'!ah"&amp;$G$1)="",INDIRECT("'数据-取费表'!k"&amp;$G$1),INDIRECT("'数据-取费表'!ah"&amp;$G$1))</f>
        <v>36043.919999999998</v>
      </c>
      <c r="G7" s="1852"/>
      <c r="H7" s="348"/>
      <c r="I7" s="3373"/>
      <c r="J7" s="350"/>
      <c r="K7" s="351"/>
      <c r="L7" s="346" t="s">
        <v>1402</v>
      </c>
      <c r="M7" s="347">
        <f ca="1">F7</f>
        <v>36043.919999999998</v>
      </c>
    </row>
    <row r="8" spans="1:37" ht="18" customHeight="1">
      <c r="A8" s="348"/>
      <c r="B8" s="3373"/>
      <c r="C8" s="350"/>
      <c r="D8" s="351"/>
      <c r="E8" s="346" t="s">
        <v>1403</v>
      </c>
      <c r="F8" s="347">
        <f ca="1">INDIRECT("'数据-取费表'!ai"&amp;$G$1)</f>
        <v>365</v>
      </c>
      <c r="G8" s="1852"/>
      <c r="H8" s="348"/>
      <c r="I8" s="3373"/>
      <c r="J8" s="350"/>
      <c r="K8" s="351"/>
      <c r="L8" s="346" t="s">
        <v>1403</v>
      </c>
      <c r="M8" s="347">
        <f ca="1">INDIRECT("'数据-取费表'!ai"&amp;$G$1)</f>
        <v>365</v>
      </c>
    </row>
    <row r="9" spans="1:37" ht="18" customHeight="1">
      <c r="A9" s="348"/>
      <c r="B9" s="3374"/>
      <c r="C9" s="350"/>
      <c r="D9" s="351"/>
      <c r="E9" s="346" t="s">
        <v>1404</v>
      </c>
      <c r="F9" s="356">
        <f ca="1">INDIRECT("'数据-取费表'!w"&amp;$G$1)</f>
        <v>0.1</v>
      </c>
      <c r="G9" s="1852"/>
      <c r="H9" s="348"/>
      <c r="I9" s="3374"/>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3022</v>
      </c>
      <c r="E10" s="357" t="s">
        <v>1406</v>
      </c>
      <c r="F10" s="1368" t="s">
        <v>3222</v>
      </c>
      <c r="G10" s="1852"/>
      <c r="H10" s="1293" t="s">
        <v>1036</v>
      </c>
      <c r="I10" s="1824" t="s">
        <v>1405</v>
      </c>
      <c r="J10" s="345">
        <f ca="1">ROUND(IF(M10="押一",J6/12*M11,IF(M10="押二",J6/12*2*M11,IF(M10="押三",J6/12*3*M11,J11*M11))),0)</f>
        <v>0</v>
      </c>
      <c r="K10" s="1825" t="s">
        <v>3022</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12070</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8844</v>
      </c>
      <c r="D14" s="2943" t="s">
        <v>1414</v>
      </c>
      <c r="E14" s="2941"/>
      <c r="F14" s="363"/>
      <c r="G14" s="1852"/>
      <c r="H14" s="1203" t="s">
        <v>1032</v>
      </c>
      <c r="I14" s="346" t="s">
        <v>1415</v>
      </c>
      <c r="J14" s="24">
        <f ca="1">C29</f>
        <v>12070</v>
      </c>
      <c r="K14" s="2948"/>
      <c r="L14" s="981"/>
      <c r="M14" s="982"/>
    </row>
    <row r="15" spans="1:37" s="1859" customFormat="1" ht="18" customHeight="1" thickBot="1">
      <c r="A15" s="1203" t="s">
        <v>1033</v>
      </c>
      <c r="B15" s="346" t="s">
        <v>1416</v>
      </c>
      <c r="C15" s="24">
        <f ca="1">ROUND(C14*F15,0)</f>
        <v>265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285</v>
      </c>
      <c r="K16" s="1339" t="s">
        <v>1421</v>
      </c>
      <c r="L16" s="2944"/>
      <c r="M16" s="1296"/>
    </row>
    <row r="17" spans="1:37" s="1859" customFormat="1" ht="18" customHeight="1">
      <c r="A17" s="1203" t="s">
        <v>1386</v>
      </c>
      <c r="B17" s="346" t="s">
        <v>1422</v>
      </c>
      <c r="C17" s="24">
        <f ca="1">ROUND(F17*(F43+INDIRECT("'数据-取费表'!S"&amp;$G$1))/10000,0)</f>
        <v>737</v>
      </c>
      <c r="D17" s="346" t="s">
        <v>1423</v>
      </c>
      <c r="E17" s="346" t="s">
        <v>1424</v>
      </c>
      <c r="F17" s="26">
        <f>'数据-取费表'!B35</f>
        <v>200</v>
      </c>
      <c r="G17" s="1855"/>
      <c r="H17" s="1203" t="s">
        <v>1032</v>
      </c>
      <c r="I17" s="346" t="s">
        <v>1425</v>
      </c>
      <c r="J17" s="24">
        <f ca="1">ROUND(IF(项目基本情况!B11="自然人",J5*M17,J18+J19+J20),1)</f>
        <v>103.5</v>
      </c>
      <c r="K17" s="2943" t="s">
        <v>1426</v>
      </c>
      <c r="L17" s="2942"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133</v>
      </c>
      <c r="D18" s="346" t="s">
        <v>1417</v>
      </c>
      <c r="E18" s="346" t="s">
        <v>1418</v>
      </c>
      <c r="F18" s="366">
        <f>'数据-取费表'!B36</f>
        <v>1.4999999999999999E-2</v>
      </c>
      <c r="G18" s="1855"/>
      <c r="H18" s="1203" t="s">
        <v>1031</v>
      </c>
      <c r="I18" s="346" t="s">
        <v>1429</v>
      </c>
      <c r="J18" s="24">
        <f ca="1">ROUND(J5*M18/(1+'数据-取费表'!C42),2)</f>
        <v>0</v>
      </c>
      <c r="K18" s="2942"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9979</v>
      </c>
      <c r="D19" s="139" t="s">
        <v>1432</v>
      </c>
      <c r="E19" s="2947"/>
      <c r="F19" s="26"/>
      <c r="G19" s="1852"/>
      <c r="H19" s="1203" t="s">
        <v>1033</v>
      </c>
      <c r="I19" s="346" t="s">
        <v>1433</v>
      </c>
      <c r="J19" s="24">
        <f ca="1">IF(K19="按租金收入计税",ROUND(J5*M19,2),ROUND(C29*M19*0.7,2))</f>
        <v>101.39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200</v>
      </c>
      <c r="D20" s="368" t="s">
        <v>1436</v>
      </c>
      <c r="E20" s="346" t="s">
        <v>1418</v>
      </c>
      <c r="F20" s="366">
        <f>'数据-取费表'!B37</f>
        <v>0.02</v>
      </c>
      <c r="G20" s="1855"/>
      <c r="H20" s="1203" t="s">
        <v>1385</v>
      </c>
      <c r="I20" s="163" t="s">
        <v>1437</v>
      </c>
      <c r="J20" s="25">
        <f ca="1">ROUND(M20*M21/10000,2)</f>
        <v>2.09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13935.05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7"/>
      <c r="F22" s="26"/>
      <c r="G22" s="1852"/>
      <c r="H22" s="1203" t="s">
        <v>1036</v>
      </c>
      <c r="I22" s="346" t="s">
        <v>1445</v>
      </c>
      <c r="J22" s="24">
        <f ca="1">ROUND(J14*M22,1)</f>
        <v>181.1</v>
      </c>
      <c r="K22" s="2942"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484</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2" t="s">
        <v>1450</v>
      </c>
      <c r="L23" s="346" t="s">
        <v>1418</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7"/>
      <c r="F25" s="26"/>
      <c r="G25" s="1852"/>
      <c r="H25" s="1331" t="s">
        <v>1028</v>
      </c>
      <c r="I25" s="1346" t="s">
        <v>1459</v>
      </c>
      <c r="J25" s="354">
        <f ca="1">J5-J16</f>
        <v>-285</v>
      </c>
      <c r="K25" s="1347" t="s">
        <v>1460</v>
      </c>
      <c r="L25" s="1348"/>
      <c r="M25" s="1349"/>
    </row>
    <row r="26" spans="1:37">
      <c r="A26" s="1203" t="s">
        <v>1031</v>
      </c>
      <c r="B26" s="346" t="s">
        <v>1461</v>
      </c>
      <c r="C26" s="24">
        <f ca="1">ROUND((C19+C20)*F26,0)</f>
        <v>509</v>
      </c>
      <c r="D26" s="368" t="s">
        <v>1462</v>
      </c>
      <c r="E26" s="357" t="s">
        <v>1463</v>
      </c>
      <c r="F26" s="356">
        <f ca="1">INDIRECT("'数据-取费表'!q"&amp;$G$1)</f>
        <v>0.05</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12070</v>
      </c>
      <c r="D29" s="1344"/>
      <c r="E29" s="1342"/>
      <c r="F29" s="1345"/>
      <c r="G29" s="1855"/>
      <c r="H29" s="379" t="s">
        <v>1030</v>
      </c>
      <c r="I29" s="380" t="s">
        <v>1475</v>
      </c>
      <c r="J29" s="381">
        <f ca="1">ROUND(J26/(1+F40)^F41,0)</f>
        <v>0</v>
      </c>
      <c r="K29" s="382" t="s">
        <v>1476</v>
      </c>
      <c r="L29" s="383"/>
      <c r="M29" s="384">
        <f ca="1">INDIRECT("'数据-取费表'!k"&amp;$G$1)</f>
        <v>36043.919999999998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423</v>
      </c>
      <c r="D30" s="1339" t="s">
        <v>1421</v>
      </c>
      <c r="E30" s="2944"/>
      <c r="F30" s="1296"/>
      <c r="G30" s="1852"/>
      <c r="H30" s="744"/>
      <c r="I30" s="745"/>
      <c r="J30" s="746"/>
      <c r="K30" s="747"/>
      <c r="L30" s="748"/>
      <c r="M30" s="749"/>
    </row>
    <row r="31" spans="1:37" ht="18" customHeight="1">
      <c r="A31" s="1203" t="s">
        <v>1032</v>
      </c>
      <c r="B31" s="346" t="s">
        <v>1425</v>
      </c>
      <c r="C31" s="24">
        <f ca="1">ROUND(IF(项目基本情况!B11="自然人",C5*F31,C32+C33+C34),1)</f>
        <v>206.2</v>
      </c>
      <c r="D31" s="2943" t="s">
        <v>1426</v>
      </c>
      <c r="E31" s="2942"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62.02</v>
      </c>
      <c r="D32" s="2942"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142.08000000000001</v>
      </c>
      <c r="D33" s="1829" t="s">
        <v>3210</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2.09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13935.05</v>
      </c>
      <c r="G35" s="1852"/>
      <c r="H35" s="744"/>
      <c r="I35" s="1861"/>
      <c r="J35" s="1862"/>
      <c r="K35" s="1863"/>
      <c r="L35" s="1860"/>
      <c r="M35" s="1860"/>
    </row>
    <row r="36" spans="1:18" ht="18" customHeight="1">
      <c r="A36" s="1354" t="s">
        <v>1036</v>
      </c>
      <c r="B36" s="346" t="s">
        <v>1445</v>
      </c>
      <c r="C36" s="24">
        <f ca="1">ROUND(C29*F36,1)</f>
        <v>181.1</v>
      </c>
      <c r="D36" s="2942"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18.100000000000001</v>
      </c>
      <c r="D37" s="2942" t="s">
        <v>1450</v>
      </c>
      <c r="E37" s="346" t="s">
        <v>1418</v>
      </c>
      <c r="F37" s="375">
        <f ca="1">INDIRECT("'数据-取费表'!Al"&amp;$G$1)</f>
        <v>1.5E-3</v>
      </c>
      <c r="G37" s="1852"/>
      <c r="H37" s="1860"/>
      <c r="I37" s="1861"/>
      <c r="J37" s="1862"/>
      <c r="K37" s="750"/>
      <c r="L37" s="1860"/>
      <c r="M37" s="1860"/>
    </row>
    <row r="38" spans="1:18" ht="18" customHeight="1" thickBot="1">
      <c r="A38" s="1341" t="s">
        <v>1388</v>
      </c>
      <c r="B38" s="1342" t="s">
        <v>1435</v>
      </c>
      <c r="C38" s="1343">
        <f ca="1">ROUND(C5*F38,1)</f>
        <v>17.8</v>
      </c>
      <c r="D38" s="1344" t="s">
        <v>1455</v>
      </c>
      <c r="E38" s="1342" t="s">
        <v>1418</v>
      </c>
      <c r="F38" s="1338">
        <f ca="1">INDIRECT("'数据-取费表'!Am"&amp;$G$1)</f>
        <v>1.4999999999999999E-2</v>
      </c>
      <c r="G38" s="1852"/>
      <c r="H38" s="1860"/>
      <c r="I38" s="1861"/>
      <c r="J38" s="1862"/>
      <c r="K38" s="1866"/>
      <c r="L38" s="1860"/>
      <c r="M38" s="1860"/>
    </row>
    <row r="39" spans="1:18" ht="24.6" customHeight="1" thickTop="1">
      <c r="A39" s="1331" t="s">
        <v>1028</v>
      </c>
      <c r="B39" s="1346" t="s">
        <v>1459</v>
      </c>
      <c r="C39" s="354">
        <f ca="1">C5-C30</f>
        <v>761</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22658</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47.059999999999995</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6286</v>
      </c>
      <c r="D43" s="382" t="s">
        <v>1484</v>
      </c>
      <c r="E43" s="383" t="s">
        <v>1485</v>
      </c>
      <c r="F43" s="384">
        <f ca="1">INDIRECT("'数据-取费表'!k"&amp;$G$1)</f>
        <v>36043.919999999998</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-44512</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3212</v>
      </c>
      <c r="K47" s="1883" t="s">
        <v>1523</v>
      </c>
      <c r="L47" s="1884">
        <f ca="1">INDIRECT("'数据-取费表'!d"&amp;$G$1)</f>
        <v>50</v>
      </c>
      <c r="M47" s="1839" t="str">
        <f>IF(ISNUMBER(FIND("住宅",C1)),"住宅","非住宅")</f>
        <v>非住宅</v>
      </c>
      <c r="O47" s="1885" t="s">
        <v>1037</v>
      </c>
      <c r="P47" s="1886" t="s">
        <v>1524</v>
      </c>
      <c r="Q47" s="1887">
        <f ca="1">C40+J29</f>
        <v>22658</v>
      </c>
      <c r="R47" s="1887" t="s">
        <v>1525</v>
      </c>
    </row>
    <row r="48" spans="1:18" s="1843" customFormat="1" ht="28.5" thickBot="1">
      <c r="A48" s="1362" t="s">
        <v>1132</v>
      </c>
      <c r="B48" s="344" t="s">
        <v>1397</v>
      </c>
      <c r="C48" s="2946">
        <f ca="1">C49+C53+C55</f>
        <v>0</v>
      </c>
      <c r="D48" s="1364"/>
      <c r="E48" s="1365"/>
      <c r="F48" s="1183"/>
      <c r="G48" s="791"/>
      <c r="H48" s="792"/>
      <c r="I48" s="1888" t="s">
        <v>1526</v>
      </c>
      <c r="J48" s="1889" t="s">
        <v>3213</v>
      </c>
      <c r="K48" s="1890" t="s">
        <v>1527</v>
      </c>
      <c r="L48" s="1891">
        <f ca="1">INDIRECT("'数据-取费表'!f"&amp;$G$1)</f>
        <v>48.66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3013</v>
      </c>
      <c r="E49" s="1831" t="s">
        <v>1487</v>
      </c>
      <c r="F49" s="1283"/>
      <c r="G49" s="1892"/>
      <c r="H49" s="792"/>
      <c r="I49" s="1888" t="s">
        <v>1530</v>
      </c>
      <c r="J49" s="1893">
        <v>2019</v>
      </c>
      <c r="K49" s="1890" t="s">
        <v>1531</v>
      </c>
      <c r="L49" s="1894"/>
      <c r="O49" s="1895" t="s">
        <v>1039</v>
      </c>
      <c r="P49" s="1886" t="s">
        <v>1532</v>
      </c>
      <c r="Q49" s="1887">
        <f ca="1">C29</f>
        <v>12070</v>
      </c>
      <c r="R49" s="1887" t="s">
        <v>1525</v>
      </c>
    </row>
    <row r="50" spans="1:18" s="1843" customFormat="1" ht="13.5" thickBot="1">
      <c r="A50" s="1197"/>
      <c r="B50" s="1200"/>
      <c r="C50" s="1370"/>
      <c r="D50" s="1174"/>
      <c r="E50" s="1279" t="s">
        <v>1402</v>
      </c>
      <c r="F50" s="1280">
        <f ca="1">F7</f>
        <v>36043.919999999998</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61</v>
      </c>
      <c r="K51" s="1901" t="s">
        <v>1537</v>
      </c>
      <c r="L51" s="1902">
        <f ca="1">ROUND(-PV(INDIRECT("'数据-取费表'!h"&amp;$G$1),L48,(C39-C13*C76),0),0)</f>
        <v>-5196</v>
      </c>
      <c r="M51" s="1903"/>
      <c r="O51" s="1895" t="s">
        <v>1041</v>
      </c>
      <c r="P51" s="1886" t="s">
        <v>1538</v>
      </c>
      <c r="Q51" s="1898">
        <f>J52</f>
        <v>0.09</v>
      </c>
      <c r="R51" s="1887"/>
    </row>
    <row r="52" spans="1:18" s="1843" customFormat="1" ht="13.5" thickBot="1">
      <c r="A52" s="1198"/>
      <c r="B52" s="1200"/>
      <c r="C52" s="1201"/>
      <c r="D52" s="1174"/>
      <c r="E52" s="1202" t="s">
        <v>1404</v>
      </c>
      <c r="F52" s="1277"/>
      <c r="I52" s="1904" t="s">
        <v>1539</v>
      </c>
      <c r="J52" s="1905">
        <v>0.09</v>
      </c>
      <c r="K52" s="1904" t="s">
        <v>1540</v>
      </c>
      <c r="L52" s="1905"/>
      <c r="O52" s="1895" t="s">
        <v>1042</v>
      </c>
      <c r="P52" s="1886" t="s">
        <v>1541</v>
      </c>
      <c r="Q52" s="1887">
        <f ca="1">J53</f>
        <v>47.059999999999995</v>
      </c>
      <c r="R52" s="1887" t="s">
        <v>1542</v>
      </c>
    </row>
    <row r="53" spans="1:18" s="1843" customFormat="1" ht="24.75" thickBot="1">
      <c r="A53" s="1407" t="s">
        <v>1134</v>
      </c>
      <c r="B53" s="1832" t="s">
        <v>1405</v>
      </c>
      <c r="C53" s="360">
        <f ca="1">ROUND(IF(F53="押一",C49/12*F11,IF(F53="押二",C49/12*2*F11,IF(F53="押三",C49/12*3*F11,C54*F11))),0)</f>
        <v>0</v>
      </c>
      <c r="D53" s="1825" t="s">
        <v>3022</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47.059999999999995</v>
      </c>
      <c r="K53" s="3370" t="s">
        <v>1544</v>
      </c>
      <c r="L53" s="3371"/>
      <c r="O53" s="1885" t="s">
        <v>1043</v>
      </c>
      <c r="P53" s="1886" t="s">
        <v>1545</v>
      </c>
      <c r="Q53" s="1887">
        <f ca="1">Q47+Q48</f>
        <v>22658</v>
      </c>
      <c r="R53" s="1887" t="s">
        <v>1044</v>
      </c>
    </row>
    <row r="54" spans="1:18" s="1843" customFormat="1" ht="13.5" thickBot="1">
      <c r="A54" s="1408"/>
      <c r="B54" s="1826" t="s">
        <v>1384</v>
      </c>
      <c r="C54" s="1180"/>
      <c r="D54" s="1825"/>
      <c r="E54" s="2945"/>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45"/>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12070</v>
      </c>
      <c r="D56" s="1915"/>
      <c r="E56" s="1916"/>
      <c r="F56" s="1908"/>
      <c r="I56" s="1917" t="s">
        <v>1550</v>
      </c>
      <c r="J56" s="1918" t="s">
        <v>3178</v>
      </c>
      <c r="K56" s="1888" t="s">
        <v>1551</v>
      </c>
      <c r="L56" s="1891" t="str">
        <f ca="1">IF(L48&lt;J51,"——",L48-J53)</f>
        <v>——</v>
      </c>
      <c r="O56" s="1885" t="s">
        <v>1037</v>
      </c>
      <c r="P56" s="1886" t="s">
        <v>1524</v>
      </c>
      <c r="Q56" s="1887">
        <f ca="1">C40+J29</f>
        <v>22658</v>
      </c>
      <c r="R56" s="1887" t="s">
        <v>1525</v>
      </c>
    </row>
    <row r="57" spans="1:18" s="1843" customFormat="1" ht="24.75" thickBot="1">
      <c r="A57" s="1919"/>
      <c r="B57" s="1171" t="s">
        <v>1474</v>
      </c>
      <c r="C57" s="281">
        <f ca="1">C29</f>
        <v>12070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1215</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1016</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1013.88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2.09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22658</v>
      </c>
      <c r="R62" s="1887" t="s">
        <v>1044</v>
      </c>
    </row>
    <row r="63" spans="1:18" s="1843" customFormat="1" ht="13.5" thickBot="1">
      <c r="A63" s="371"/>
      <c r="B63" s="1177"/>
      <c r="C63" s="29"/>
      <c r="D63" s="1187"/>
      <c r="E63" s="1171" t="s">
        <v>1443</v>
      </c>
      <c r="F63" s="347">
        <f t="shared" ca="1" si="0"/>
        <v>13935.05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181.1</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18.100000000000001</v>
      </c>
      <c r="D65" s="1185" t="s">
        <v>1450</v>
      </c>
      <c r="E65" s="1171" t="s">
        <v>1418</v>
      </c>
      <c r="F65" s="375">
        <f t="shared" ca="1" si="0"/>
        <v>1.5E-3</v>
      </c>
      <c r="I65" s="1930" t="s">
        <v>1575</v>
      </c>
      <c r="J65" s="1931">
        <v>40</v>
      </c>
      <c r="K65" s="1931">
        <v>30</v>
      </c>
      <c r="L65" s="1931">
        <v>50</v>
      </c>
      <c r="M65" s="1933">
        <v>0.02</v>
      </c>
      <c r="O65" s="1885" t="s">
        <v>1037</v>
      </c>
      <c r="P65" s="1886" t="s">
        <v>1524</v>
      </c>
      <c r="Q65" s="1887">
        <f ca="1">C40+J29</f>
        <v>22658</v>
      </c>
      <c r="R65" s="1887" t="s">
        <v>1525</v>
      </c>
    </row>
    <row r="66" spans="1:18" s="1843" customFormat="1" ht="16.5" thickBot="1">
      <c r="A66" s="1203" t="s">
        <v>1500</v>
      </c>
      <c r="B66" s="1171" t="s">
        <v>1435</v>
      </c>
      <c r="C66" s="24">
        <f ca="1">ROUND(C48*F66,1)</f>
        <v>0</v>
      </c>
      <c r="D66" s="1185" t="s">
        <v>1455</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-1215</v>
      </c>
      <c r="D67" s="1184" t="s">
        <v>1460</v>
      </c>
      <c r="E67" s="1189"/>
      <c r="F67" s="1190"/>
      <c r="O67" s="1895" t="s">
        <v>1039</v>
      </c>
      <c r="P67" s="1886" t="s">
        <v>1558</v>
      </c>
      <c r="Q67" s="1934">
        <f ca="1">L51</f>
        <v>-5196</v>
      </c>
      <c r="R67" s="1887" t="s">
        <v>1578</v>
      </c>
    </row>
    <row r="68" spans="1:18" s="1843" customFormat="1" ht="16.5" thickBot="1">
      <c r="A68" s="1168" t="s">
        <v>1029</v>
      </c>
      <c r="B68" s="1169" t="s">
        <v>1481</v>
      </c>
      <c r="C68" s="345">
        <f ca="1">ROUND(C67*(1-((1+F70)/(1+F68))^F69)/(F68-F70),0)</f>
        <v>-21854</v>
      </c>
      <c r="D68" s="1186" t="s">
        <v>1465</v>
      </c>
      <c r="E68" s="1171" t="s">
        <v>1466</v>
      </c>
      <c r="F68" s="356">
        <f ca="1">F40</f>
        <v>0.05</v>
      </c>
      <c r="O68" s="1895" t="s">
        <v>1040</v>
      </c>
      <c r="P68" s="1935" t="s">
        <v>1579</v>
      </c>
      <c r="Q68" s="1887">
        <f ca="1">ROUND(Q69-Q70*Q71,0)</f>
        <v>-265</v>
      </c>
      <c r="R68" s="1887" t="s">
        <v>1048</v>
      </c>
    </row>
    <row r="69" spans="1:18" s="1843" customFormat="1" ht="13.5" thickBot="1">
      <c r="A69" s="1172"/>
      <c r="B69" s="1173"/>
      <c r="C69" s="350"/>
      <c r="D69" s="1191" t="s">
        <v>1469</v>
      </c>
      <c r="E69" s="1171" t="s">
        <v>1470</v>
      </c>
      <c r="F69" s="378">
        <f ca="1">F41</f>
        <v>47.059999999999995</v>
      </c>
      <c r="O69" s="1895" t="s">
        <v>1045</v>
      </c>
      <c r="P69" s="1935" t="s">
        <v>1580</v>
      </c>
      <c r="Q69" s="1887">
        <f ca="1">C39</f>
        <v>761</v>
      </c>
      <c r="R69" s="1887" t="s">
        <v>1525</v>
      </c>
    </row>
    <row r="70" spans="1:18" s="1843" customFormat="1" ht="13.5" thickBot="1">
      <c r="A70" s="1175"/>
      <c r="B70" s="1176"/>
      <c r="C70" s="354"/>
      <c r="D70" s="1187"/>
      <c r="E70" s="1171" t="s">
        <v>1473</v>
      </c>
      <c r="F70" s="1277"/>
      <c r="O70" s="1895" t="s">
        <v>1046</v>
      </c>
      <c r="P70" s="1935" t="s">
        <v>1581</v>
      </c>
      <c r="Q70" s="1887">
        <f ca="1">C13</f>
        <v>12070</v>
      </c>
      <c r="R70" s="1887" t="s">
        <v>1525</v>
      </c>
    </row>
    <row r="71" spans="1:18" s="1843" customFormat="1" ht="13.5" thickBot="1">
      <c r="A71" s="1192" t="s">
        <v>1030</v>
      </c>
      <c r="B71" s="1193" t="s">
        <v>1483</v>
      </c>
      <c r="C71" s="381">
        <f ca="1">ROUND(C68*10000/F71,0)</f>
        <v>-6063</v>
      </c>
      <c r="D71" s="1194" t="s">
        <v>1484</v>
      </c>
      <c r="E71" s="1195" t="s">
        <v>1485</v>
      </c>
      <c r="F71" s="384">
        <f ca="1">F43</f>
        <v>36043.919999999998</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1026</v>
      </c>
      <c r="D75" s="1843"/>
      <c r="E75" s="1843"/>
      <c r="F75" s="1843"/>
      <c r="K75" s="1869"/>
      <c r="L75" s="1843"/>
      <c r="O75" s="1885" t="s">
        <v>1043</v>
      </c>
      <c r="P75" s="1886" t="s">
        <v>1545</v>
      </c>
      <c r="Q75" s="1887">
        <f ca="1">Q65+Q66</f>
        <v>22658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-0.34800000000000009</v>
      </c>
    </row>
    <row r="80" spans="1:18">
      <c r="B80" s="385" t="s">
        <v>1507</v>
      </c>
      <c r="C80" s="317">
        <f ca="1">ROUND(C75/C39,3)</f>
        <v>1.3480000000000001</v>
      </c>
    </row>
    <row r="81" spans="2:3">
      <c r="B81" s="313" t="s">
        <v>1508</v>
      </c>
      <c r="C81" s="281"/>
    </row>
    <row r="82" spans="2:3">
      <c r="B82" s="316" t="s">
        <v>1509</v>
      </c>
      <c r="C82" s="318">
        <f ca="1">1-C83</f>
        <v>0.46699999999999997</v>
      </c>
    </row>
    <row r="83" spans="2:3">
      <c r="B83" s="316" t="s">
        <v>1510</v>
      </c>
      <c r="C83" s="317">
        <f ca="1">ROUND(C13/C40,3)</f>
        <v>0.53300000000000003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6" sqref="F2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2507</v>
      </c>
      <c r="B1" s="2561"/>
      <c r="C1" s="2561"/>
      <c r="D1" s="2561"/>
      <c r="E1" s="2562"/>
    </row>
    <row r="2" spans="1:6" ht="15.75">
      <c r="A2" s="2563" t="s">
        <v>2311</v>
      </c>
      <c r="B2" s="2564">
        <f ca="1">SUMIF(B6:B13,"&lt;&gt;#ref!",B6:B13)</f>
        <v>115764</v>
      </c>
      <c r="C2" s="2565" t="s">
        <v>2500</v>
      </c>
      <c r="D2" s="2566" t="s">
        <v>2501</v>
      </c>
      <c r="E2" s="2567">
        <f>SUM(E6:E13)</f>
        <v>80121.01999999999</v>
      </c>
    </row>
    <row r="3" spans="1:6" ht="15.75">
      <c r="A3" s="2563" t="s">
        <v>1391</v>
      </c>
      <c r="B3" s="2564">
        <f ca="1">ROUND(B2*10000/E2,0)</f>
        <v>14449</v>
      </c>
      <c r="C3" s="2565" t="s">
        <v>2508</v>
      </c>
      <c r="D3" s="2568"/>
      <c r="E3" s="2569"/>
    </row>
    <row r="4" spans="1:6" ht="15.75">
      <c r="A4" s="2570"/>
      <c r="B4" s="2568"/>
      <c r="C4" s="2568"/>
      <c r="D4" s="2568"/>
      <c r="E4" s="2569"/>
    </row>
    <row r="5" spans="1:6" ht="15">
      <c r="A5" s="2571" t="s">
        <v>2502</v>
      </c>
      <c r="B5" s="3375" t="s">
        <v>2503</v>
      </c>
      <c r="C5" s="3375"/>
      <c r="D5" s="2572"/>
      <c r="E5" s="2573" t="s">
        <v>2504</v>
      </c>
      <c r="F5" s="2574" t="s">
        <v>2505</v>
      </c>
    </row>
    <row r="6" spans="1:6">
      <c r="A6" s="2575">
        <f>'数据-取费表'!AN6</f>
        <v>0</v>
      </c>
      <c r="B6" s="2574" t="e">
        <f ca="1">IF(F6="是",'数据-取费表'!AO6,0)</f>
        <v>#REF!</v>
      </c>
      <c r="C6" s="2565" t="s">
        <v>2500</v>
      </c>
      <c r="D6" s="2568"/>
      <c r="E6" s="2576">
        <f>IF(OR(A6=0,F6="否"),0,'数据-取费表'!K6+'数据-取费表'!S6)</f>
        <v>0</v>
      </c>
      <c r="F6" s="2577" t="s">
        <v>2506</v>
      </c>
    </row>
    <row r="7" spans="1:6">
      <c r="A7" s="2575">
        <f>'数据-取费表'!AN7</f>
        <v>0</v>
      </c>
      <c r="B7" s="2574" t="e">
        <f ca="1">IF(F7="是",'数据-取费表'!AO7,0)</f>
        <v>#REF!</v>
      </c>
      <c r="C7" s="2565" t="s">
        <v>2500</v>
      </c>
      <c r="D7" s="2568"/>
      <c r="E7" s="2576">
        <f>IF(OR(A7=0,F7="否"),0,'数据-取费表'!K7+'数据-取费表'!S7)</f>
        <v>0</v>
      </c>
      <c r="F7" s="2577" t="s">
        <v>2506</v>
      </c>
    </row>
    <row r="8" spans="1:6">
      <c r="A8" s="2575" t="str">
        <f>'数据-取费表'!AN8</f>
        <v>收益法</v>
      </c>
      <c r="B8" s="2574">
        <f ca="1">IF(F8="是",'数据-取费表'!AO8,0)</f>
        <v>81527</v>
      </c>
      <c r="C8" s="2565" t="s">
        <v>2500</v>
      </c>
      <c r="D8" s="2568"/>
      <c r="E8" s="2576">
        <f>IF(OR(A8=0,F8="否"),0,'数据-取费表'!K8+'数据-取费表'!S8)</f>
        <v>32382.949999999997</v>
      </c>
      <c r="F8" s="2577" t="s">
        <v>2506</v>
      </c>
    </row>
    <row r="9" spans="1:6">
      <c r="A9" s="2575" t="str">
        <f>'数据-取费表'!AN9</f>
        <v>收益法 (商业)</v>
      </c>
      <c r="B9" s="2574">
        <f ca="1">IF(F9="是",'数据-取费表'!AO9,0)</f>
        <v>1129</v>
      </c>
      <c r="C9" s="2565" t="s">
        <v>2500</v>
      </c>
      <c r="D9" s="2568"/>
      <c r="E9" s="2576">
        <f>IF(OR(A9=0,F9="否"),0,'数据-取费表'!K9+'数据-取费表'!S9)</f>
        <v>490.71</v>
      </c>
      <c r="F9" s="2577" t="s">
        <v>2506</v>
      </c>
    </row>
    <row r="10" spans="1:6">
      <c r="A10" s="2575" t="str">
        <f>'数据-取费表'!AN10</f>
        <v>收益法 (地下车库)</v>
      </c>
      <c r="B10" s="2574">
        <f ca="1">IF(F10="是",'数据-取费表'!AO10,0)</f>
        <v>22658</v>
      </c>
      <c r="C10" s="2565" t="s">
        <v>2500</v>
      </c>
      <c r="D10" s="2568"/>
      <c r="E10" s="2576">
        <f>IF(OR(A10=0,F10="否"),0,'数据-取费表'!K10+'数据-取费表'!S10)</f>
        <v>36848.239999999998</v>
      </c>
      <c r="F10" s="2577" t="s">
        <v>2506</v>
      </c>
    </row>
    <row r="11" spans="1:6">
      <c r="A11" s="2575" t="str">
        <f>'数据-取费表'!AN11</f>
        <v>收益法 (仓储)</v>
      </c>
      <c r="B11" s="2574">
        <f ca="1">IF(F11="是",'数据-取费表'!AO11,0)</f>
        <v>10450</v>
      </c>
      <c r="C11" s="2565" t="s">
        <v>2500</v>
      </c>
      <c r="D11" s="2568"/>
      <c r="E11" s="2576">
        <f>IF(OR(A11=0,F11="否"),0,'数据-取费表'!K11+'数据-取费表'!S11)</f>
        <v>10399.119999999999</v>
      </c>
      <c r="F11" s="2577" t="s">
        <v>2506</v>
      </c>
    </row>
    <row r="12" spans="1:6">
      <c r="A12" s="2575">
        <f>'数据-取费表'!AN12</f>
        <v>0</v>
      </c>
      <c r="B12" s="2574" t="e">
        <f ca="1">IF(F12="是",'数据-取费表'!AO12,0)</f>
        <v>#REF!</v>
      </c>
      <c r="C12" s="2565" t="s">
        <v>2500</v>
      </c>
      <c r="D12" s="2568"/>
      <c r="E12" s="2576">
        <f>IF(OR(A12=0,F12="否"),0,'数据-取费表'!K12+'数据-取费表'!S12)</f>
        <v>0</v>
      </c>
      <c r="F12" s="2577" t="s">
        <v>2506</v>
      </c>
    </row>
    <row r="13" spans="1:6" ht="15" thickBot="1">
      <c r="A13" s="2578">
        <f>'数据-取费表'!AN13</f>
        <v>0</v>
      </c>
      <c r="B13" s="2574" t="e">
        <f ca="1">IF(F13="是",'数据-取费表'!AO13,0)</f>
        <v>#REF!</v>
      </c>
      <c r="C13" s="2579" t="s">
        <v>2500</v>
      </c>
      <c r="D13" s="2580"/>
      <c r="E13" s="2576">
        <f>IF(OR(A13=0,F13="否"),0,'数据-取费表'!K13+'数据-取费表'!S13)</f>
        <v>0</v>
      </c>
      <c r="F13" s="2577"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2" t="s">
        <v>1073</v>
      </c>
      <c r="B1" s="3393"/>
      <c r="C1" s="3394"/>
      <c r="D1" s="3395">
        <f>SUM(I10,I15,I20,I21,I23)</f>
        <v>0</v>
      </c>
      <c r="E1" s="3395"/>
      <c r="F1" s="3395"/>
      <c r="G1" s="3395"/>
      <c r="H1" s="3395"/>
      <c r="I1" s="3396"/>
    </row>
    <row r="2" spans="1:9">
      <c r="A2" s="3382" t="s">
        <v>1074</v>
      </c>
      <c r="B2" s="3383" t="s">
        <v>1075</v>
      </c>
      <c r="C2" s="3383"/>
      <c r="D2" s="1303" t="s">
        <v>1076</v>
      </c>
      <c r="E2" s="1303" t="s">
        <v>1077</v>
      </c>
      <c r="F2" s="1303" t="s">
        <v>1078</v>
      </c>
      <c r="G2" s="1303" t="s">
        <v>1079</v>
      </c>
      <c r="H2" s="1303" t="s">
        <v>1080</v>
      </c>
      <c r="I2" s="1304" t="s">
        <v>1081</v>
      </c>
    </row>
    <row r="3" spans="1:9">
      <c r="A3" s="3382"/>
      <c r="B3" s="3383" t="s">
        <v>1082</v>
      </c>
      <c r="C3" s="3383"/>
      <c r="D3" s="1305"/>
      <c r="E3" s="1303"/>
      <c r="F3" s="1306"/>
      <c r="G3" s="1306"/>
      <c r="H3" s="1307"/>
      <c r="I3" s="1308">
        <f>ROUND(D3*E3*F3*G3*H3/10000,0)</f>
        <v>0</v>
      </c>
    </row>
    <row r="4" spans="1:9">
      <c r="A4" s="3382"/>
      <c r="B4" s="3383" t="s">
        <v>1083</v>
      </c>
      <c r="C4" s="3383"/>
      <c r="D4" s="1305"/>
      <c r="E4" s="1303"/>
      <c r="F4" s="1306"/>
      <c r="G4" s="1306"/>
      <c r="H4" s="1307"/>
      <c r="I4" s="1308">
        <f t="shared" ref="I4:I9" si="0">ROUND(D4*E4*F4*G4*H4/10000,0)</f>
        <v>0</v>
      </c>
    </row>
    <row r="5" spans="1:9">
      <c r="A5" s="3382"/>
      <c r="B5" s="3383" t="s">
        <v>1084</v>
      </c>
      <c r="C5" s="3383"/>
      <c r="D5" s="1305"/>
      <c r="E5" s="1303"/>
      <c r="F5" s="1306"/>
      <c r="G5" s="1306"/>
      <c r="H5" s="1307"/>
      <c r="I5" s="1308">
        <f t="shared" si="0"/>
        <v>0</v>
      </c>
    </row>
    <row r="6" spans="1:9">
      <c r="A6" s="3382"/>
      <c r="B6" s="3383" t="s">
        <v>1085</v>
      </c>
      <c r="C6" s="3383"/>
      <c r="D6" s="1305"/>
      <c r="E6" s="1303"/>
      <c r="F6" s="1306"/>
      <c r="G6" s="1306"/>
      <c r="H6" s="1307"/>
      <c r="I6" s="1308">
        <f t="shared" si="0"/>
        <v>0</v>
      </c>
    </row>
    <row r="7" spans="1:9">
      <c r="A7" s="3382"/>
      <c r="B7" s="3383" t="s">
        <v>1086</v>
      </c>
      <c r="C7" s="3383"/>
      <c r="D7" s="1305"/>
      <c r="E7" s="1303"/>
      <c r="F7" s="1306"/>
      <c r="G7" s="1306"/>
      <c r="H7" s="1307"/>
      <c r="I7" s="1308">
        <f t="shared" si="0"/>
        <v>0</v>
      </c>
    </row>
    <row r="8" spans="1:9">
      <c r="A8" s="3382"/>
      <c r="B8" s="3383" t="s">
        <v>1087</v>
      </c>
      <c r="C8" s="3383"/>
      <c r="D8" s="1305"/>
      <c r="E8" s="1303"/>
      <c r="F8" s="1306"/>
      <c r="G8" s="1306"/>
      <c r="H8" s="1307"/>
      <c r="I8" s="1308">
        <f t="shared" si="0"/>
        <v>0</v>
      </c>
    </row>
    <row r="9" spans="1:9">
      <c r="A9" s="3382"/>
      <c r="B9" s="3383" t="s">
        <v>1088</v>
      </c>
      <c r="C9" s="3383"/>
      <c r="D9" s="1305"/>
      <c r="E9" s="1303"/>
      <c r="F9" s="1306"/>
      <c r="G9" s="1306"/>
      <c r="H9" s="1307"/>
      <c r="I9" s="1308">
        <f t="shared" si="0"/>
        <v>0</v>
      </c>
    </row>
    <row r="10" spans="1:9">
      <c r="A10" s="3382"/>
      <c r="B10" s="3384" t="s">
        <v>1089</v>
      </c>
      <c r="C10" s="3384"/>
      <c r="D10" s="1309"/>
      <c r="E10" s="1309" t="e">
        <f>ROUND(D1*10000/D10/H9,0)</f>
        <v>#DIV/0!</v>
      </c>
      <c r="F10" s="1310"/>
      <c r="G10" s="1310"/>
      <c r="H10" s="1311"/>
      <c r="I10" s="1312">
        <f>SUM(I3:I9)</f>
        <v>0</v>
      </c>
    </row>
    <row r="11" spans="1:9" ht="14.25">
      <c r="A11" s="3382" t="s">
        <v>1090</v>
      </c>
      <c r="B11" s="3383" t="s">
        <v>1091</v>
      </c>
      <c r="C11" s="3383"/>
      <c r="D11" s="1305" t="s">
        <v>1092</v>
      </c>
      <c r="E11" s="1305" t="s">
        <v>1093</v>
      </c>
      <c r="F11" s="1306" t="s">
        <v>1094</v>
      </c>
      <c r="G11" s="1306" t="s">
        <v>1080</v>
      </c>
      <c r="H11" s="1313" t="s">
        <v>1095</v>
      </c>
      <c r="I11" s="1304" t="s">
        <v>1081</v>
      </c>
    </row>
    <row r="12" spans="1:9">
      <c r="A12" s="3382"/>
      <c r="B12" s="3383" t="s">
        <v>1096</v>
      </c>
      <c r="C12" s="3383"/>
      <c r="D12" s="1305"/>
      <c r="E12" s="1305"/>
      <c r="F12" s="1306"/>
      <c r="G12" s="1307"/>
      <c r="H12" s="1314"/>
      <c r="I12" s="1304">
        <f>ROUND(D12*E12*F12*G12/10000,0)</f>
        <v>0</v>
      </c>
    </row>
    <row r="13" spans="1:9">
      <c r="A13" s="3382"/>
      <c r="B13" s="3383" t="s">
        <v>1097</v>
      </c>
      <c r="C13" s="3383"/>
      <c r="D13" s="1305"/>
      <c r="E13" s="1305"/>
      <c r="F13" s="1306"/>
      <c r="G13" s="1307"/>
      <c r="H13" s="1314"/>
      <c r="I13" s="1304">
        <f>ROUND(D13*E13*F13*G13/10000,0)</f>
        <v>0</v>
      </c>
    </row>
    <row r="14" spans="1:9">
      <c r="A14" s="3382"/>
      <c r="B14" s="3383" t="s">
        <v>1098</v>
      </c>
      <c r="C14" s="3383"/>
      <c r="D14" s="1305"/>
      <c r="E14" s="1305"/>
      <c r="F14" s="1306"/>
      <c r="G14" s="1307"/>
      <c r="H14" s="1314"/>
      <c r="I14" s="1304">
        <f>ROUND(D14*E14*F14*G14/10000,0)</f>
        <v>0</v>
      </c>
    </row>
    <row r="15" spans="1:9">
      <c r="A15" s="3382"/>
      <c r="B15" s="3384" t="s">
        <v>1089</v>
      </c>
      <c r="C15" s="3384"/>
      <c r="D15" s="1309"/>
      <c r="E15" s="1309">
        <f>SUM(E12:E14)</f>
        <v>0</v>
      </c>
      <c r="F15" s="1310"/>
      <c r="G15" s="1307"/>
      <c r="H15" s="1314"/>
      <c r="I15" s="1315">
        <f>SUM(I12:I14)</f>
        <v>0</v>
      </c>
    </row>
    <row r="16" spans="1:9" ht="24">
      <c r="A16" s="3382" t="s">
        <v>1099</v>
      </c>
      <c r="B16" s="3383" t="s">
        <v>1100</v>
      </c>
      <c r="C16" s="3383"/>
      <c r="D16" s="1305" t="s">
        <v>1076</v>
      </c>
      <c r="E16" s="1316" t="s">
        <v>1101</v>
      </c>
      <c r="F16" s="1306" t="s">
        <v>1102</v>
      </c>
      <c r="G16" s="1307" t="s">
        <v>1080</v>
      </c>
      <c r="H16" s="1313" t="s">
        <v>1095</v>
      </c>
      <c r="I16" s="1304" t="s">
        <v>1081</v>
      </c>
    </row>
    <row r="17" spans="1:9" ht="14.25">
      <c r="A17" s="3382"/>
      <c r="B17" s="3383" t="s">
        <v>1103</v>
      </c>
      <c r="C17" s="3383"/>
      <c r="D17" s="1305"/>
      <c r="E17" s="1305"/>
      <c r="F17" s="1306"/>
      <c r="G17" s="1307"/>
      <c r="H17" s="1317"/>
      <c r="I17" s="1318">
        <f>ROUND(D17*E17*F17*G17/10000,0)</f>
        <v>0</v>
      </c>
    </row>
    <row r="18" spans="1:9" ht="14.25">
      <c r="A18" s="3382"/>
      <c r="B18" s="3383" t="s">
        <v>1104</v>
      </c>
      <c r="C18" s="3383"/>
      <c r="D18" s="1305"/>
      <c r="E18" s="1305"/>
      <c r="F18" s="1306"/>
      <c r="G18" s="1307"/>
      <c r="H18" s="1317"/>
      <c r="I18" s="1318">
        <f>ROUND(D18*E18*F18*G18/10000,0)</f>
        <v>0</v>
      </c>
    </row>
    <row r="19" spans="1:9" ht="14.25">
      <c r="A19" s="3382"/>
      <c r="B19" s="3383" t="s">
        <v>1105</v>
      </c>
      <c r="C19" s="3383"/>
      <c r="D19" s="1305"/>
      <c r="E19" s="1305"/>
      <c r="F19" s="1306"/>
      <c r="G19" s="1307"/>
      <c r="H19" s="1317"/>
      <c r="I19" s="1318">
        <f>ROUND(D19*E19*F19*G19/10000,0)</f>
        <v>0</v>
      </c>
    </row>
    <row r="20" spans="1:9">
      <c r="A20" s="3382"/>
      <c r="B20" s="3384" t="s">
        <v>1089</v>
      </c>
      <c r="C20" s="3384"/>
      <c r="D20" s="1309">
        <f>SUM(D17:D19)</f>
        <v>0</v>
      </c>
      <c r="E20" s="1309"/>
      <c r="F20" s="1310"/>
      <c r="G20" s="1307"/>
      <c r="H20" s="1314"/>
      <c r="I20" s="1315">
        <f>SUM(I17:I19)</f>
        <v>0</v>
      </c>
    </row>
    <row r="21" spans="1:9">
      <c r="A21" s="3382" t="s">
        <v>1106</v>
      </c>
      <c r="B21" s="3385"/>
      <c r="C21" s="3385"/>
      <c r="D21" s="3385"/>
      <c r="E21" s="3385"/>
      <c r="F21" s="3385"/>
      <c r="G21" s="3385"/>
      <c r="H21" s="1766">
        <v>0.1</v>
      </c>
      <c r="I21" s="1312">
        <f>ROUND(I10*H21,0)</f>
        <v>0</v>
      </c>
    </row>
    <row r="22" spans="1:9" ht="14.25">
      <c r="A22" s="3386" t="s">
        <v>1107</v>
      </c>
      <c r="B22" s="3387"/>
      <c r="C22" s="3388"/>
      <c r="D22" s="1319" t="s">
        <v>1108</v>
      </c>
      <c r="E22" s="1319" t="s">
        <v>1109</v>
      </c>
      <c r="F22" s="1320" t="s">
        <v>1110</v>
      </c>
      <c r="G22" s="1320" t="s">
        <v>1111</v>
      </c>
      <c r="H22" s="1313" t="s">
        <v>1112</v>
      </c>
      <c r="I22" s="1304" t="s">
        <v>1113</v>
      </c>
    </row>
    <row r="23" spans="1:9" ht="14.25" thickBot="1">
      <c r="A23" s="3389"/>
      <c r="B23" s="3390"/>
      <c r="C23" s="3391"/>
      <c r="D23" s="1321"/>
      <c r="E23" s="1321"/>
      <c r="F23" s="1321"/>
      <c r="G23" s="1322"/>
      <c r="H23" s="1323"/>
      <c r="I23" s="1324">
        <f>ROUND(E23*D23*F23*(1-G23)/10000,0)</f>
        <v>0</v>
      </c>
    </row>
    <row r="26" spans="1:9">
      <c r="A26" s="1325" t="s">
        <v>1114</v>
      </c>
      <c r="B26" s="1325"/>
      <c r="C26" s="1325"/>
      <c r="D26" s="1325"/>
      <c r="E26" s="3379">
        <f>C27-C30-C31-C32</f>
        <v>0</v>
      </c>
      <c r="F26" s="3379"/>
      <c r="G26" s="3379"/>
      <c r="H26" s="1738" t="s">
        <v>1336</v>
      </c>
    </row>
    <row r="27" spans="1:9">
      <c r="A27" s="1326">
        <v>1</v>
      </c>
      <c r="B27" s="1327" t="s">
        <v>1115</v>
      </c>
      <c r="C27" s="1327">
        <f>C28+C29</f>
        <v>0</v>
      </c>
      <c r="D27" s="1327"/>
      <c r="E27" s="3380"/>
      <c r="F27" s="3380"/>
      <c r="G27" s="3380"/>
    </row>
    <row r="28" spans="1:9">
      <c r="A28" s="1328" t="s">
        <v>1116</v>
      </c>
      <c r="B28" s="1327" t="s">
        <v>1117</v>
      </c>
      <c r="C28" s="1327"/>
      <c r="D28" s="1327"/>
      <c r="E28" s="3380"/>
      <c r="F28" s="3380"/>
      <c r="G28" s="338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381"/>
      <c r="F32" s="3381"/>
      <c r="G32" s="3381"/>
    </row>
    <row r="33" spans="1:7" hidden="1">
      <c r="A33" s="3376" t="s">
        <v>1126</v>
      </c>
      <c r="B33" s="3377"/>
      <c r="C33" s="3377"/>
      <c r="D33" s="3378"/>
      <c r="E33" s="3379"/>
      <c r="F33" s="3379"/>
      <c r="G33" s="3379"/>
    </row>
    <row r="34" spans="1:7" hidden="1">
      <c r="A34" s="1330">
        <v>1</v>
      </c>
      <c r="B34" s="1327" t="s">
        <v>1127</v>
      </c>
      <c r="C34" s="1327"/>
      <c r="D34" s="1327"/>
      <c r="E34" s="3380"/>
      <c r="F34" s="3380"/>
      <c r="G34" s="3380"/>
    </row>
    <row r="35" spans="1:7" hidden="1">
      <c r="A35" s="1330">
        <v>2</v>
      </c>
      <c r="B35" s="1327" t="s">
        <v>1128</v>
      </c>
      <c r="C35" s="1327"/>
      <c r="D35" s="1327"/>
      <c r="E35" s="3380"/>
      <c r="F35" s="3380"/>
      <c r="G35" s="3380"/>
    </row>
    <row r="36" spans="1:7" hidden="1">
      <c r="A36" s="1330">
        <v>3</v>
      </c>
      <c r="B36" s="1327" t="s">
        <v>1129</v>
      </c>
      <c r="C36" s="1327"/>
      <c r="D36" s="1327"/>
      <c r="E36" s="3380"/>
      <c r="F36" s="3380"/>
      <c r="G36" s="3380"/>
    </row>
    <row r="37" spans="1:7" hidden="1">
      <c r="A37" s="1330">
        <v>4</v>
      </c>
      <c r="B37" s="1327" t="s">
        <v>1130</v>
      </c>
      <c r="C37" s="1327"/>
      <c r="D37" s="1327"/>
      <c r="E37" s="3380"/>
      <c r="F37" s="3380"/>
      <c r="G37" s="3380"/>
    </row>
    <row r="38" spans="1:7" hidden="1">
      <c r="A38" s="3376" t="s">
        <v>1131</v>
      </c>
      <c r="B38" s="3377"/>
      <c r="C38" s="3377"/>
      <c r="D38" s="3378"/>
      <c r="E38" s="3379"/>
      <c r="F38" s="3379"/>
      <c r="G38" s="33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2509</v>
      </c>
      <c r="B1" s="2581" t="s">
        <v>2510</v>
      </c>
      <c r="C1" s="1635" t="s">
        <v>2511</v>
      </c>
      <c r="D1" s="1622"/>
      <c r="E1" s="2582"/>
      <c r="F1" s="2583" t="s">
        <v>2512</v>
      </c>
      <c r="G1" s="1632" t="s">
        <v>2513</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5"/>
      <c r="D2" s="1367" t="e">
        <f ca="1">SUMIF(INDIRECT("'"&amp;F2&amp;"'"&amp;"!A:A"),"承租人权益价值",INDIRECT("'"&amp;F2&amp;"'"&amp;"!c:c"))</f>
        <v>#REF!</v>
      </c>
      <c r="E2" s="2586" t="s">
        <v>2514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2515</v>
      </c>
      <c r="D3" s="398">
        <f>IF(D1="",'数据-汇总表'!E3,SUMIF('数据-汇总表'!$C19:$C33,D1,'数据-汇总表'!$E19:$E33))</f>
        <v>219161.38</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2516</v>
      </c>
      <c r="B4" s="401"/>
      <c r="C4" s="3331" t="s">
        <v>2517</v>
      </c>
      <c r="D4" s="3344"/>
      <c r="E4" s="3345" t="s">
        <v>2518</v>
      </c>
      <c r="F4" s="3346"/>
      <c r="G4" s="3331" t="s">
        <v>2519</v>
      </c>
      <c r="H4" s="3344"/>
      <c r="I4" s="3331" t="s">
        <v>2520</v>
      </c>
      <c r="J4" s="3344"/>
      <c r="K4" s="2595" t="s">
        <v>2521</v>
      </c>
      <c r="L4" s="1132"/>
      <c r="M4" s="1133"/>
      <c r="N4" s="1133"/>
      <c r="O4" s="1133"/>
      <c r="P4" s="3347" t="s">
        <v>2522</v>
      </c>
      <c r="Q4" s="3348"/>
      <c r="R4" s="3353" t="s">
        <v>2518</v>
      </c>
      <c r="S4" s="3354"/>
      <c r="T4" s="3353" t="s">
        <v>2519</v>
      </c>
      <c r="U4" s="3354"/>
      <c r="V4" s="3340" t="s">
        <v>2520</v>
      </c>
      <c r="W4" s="3340"/>
      <c r="X4" s="1814"/>
      <c r="Y4" s="3353" t="s">
        <v>2522</v>
      </c>
      <c r="Z4" s="3354"/>
      <c r="AA4" s="3341" t="s">
        <v>2518</v>
      </c>
      <c r="AB4" s="3341" t="s">
        <v>2519</v>
      </c>
      <c r="AC4" s="3341" t="s">
        <v>2520</v>
      </c>
    </row>
    <row r="5" spans="1:29" ht="15">
      <c r="A5" s="403"/>
      <c r="B5" s="404"/>
      <c r="C5" s="3407" t="s">
        <v>2523</v>
      </c>
      <c r="D5" s="3408"/>
      <c r="E5" s="3411" t="s">
        <v>2524</v>
      </c>
      <c r="F5" s="3412"/>
      <c r="G5" s="3407" t="s">
        <v>2525</v>
      </c>
      <c r="H5" s="3408"/>
      <c r="I5" s="3407" t="s">
        <v>2526</v>
      </c>
      <c r="J5" s="3408"/>
      <c r="K5" s="2596"/>
      <c r="L5" s="1132"/>
      <c r="M5" s="1133"/>
      <c r="N5" s="1133"/>
      <c r="O5" s="1133"/>
      <c r="P5" s="3349"/>
      <c r="Q5" s="3350"/>
      <c r="R5" s="3355"/>
      <c r="S5" s="3356"/>
      <c r="T5" s="3355"/>
      <c r="U5" s="3356"/>
      <c r="V5" s="3340"/>
      <c r="W5" s="3340"/>
      <c r="X5" s="1814"/>
      <c r="Y5" s="3355"/>
      <c r="Z5" s="3356"/>
      <c r="AA5" s="3342"/>
      <c r="AB5" s="3342"/>
      <c r="AC5" s="3342"/>
    </row>
    <row r="6" spans="1:29" ht="15.75" thickBot="1">
      <c r="A6" s="405"/>
      <c r="B6" s="406"/>
      <c r="C6" s="3405" t="s">
        <v>2527</v>
      </c>
      <c r="D6" s="3406"/>
      <c r="E6" s="3409" t="s">
        <v>2527</v>
      </c>
      <c r="F6" s="3410"/>
      <c r="G6" s="3405" t="s">
        <v>2527</v>
      </c>
      <c r="H6" s="3406"/>
      <c r="I6" s="3405" t="s">
        <v>2527</v>
      </c>
      <c r="J6" s="3406"/>
      <c r="K6" s="2596" t="s">
        <v>2528</v>
      </c>
      <c r="L6" s="1132"/>
      <c r="M6" s="1133"/>
      <c r="N6" s="1133"/>
      <c r="O6" s="1133"/>
      <c r="P6" s="3351"/>
      <c r="Q6" s="3352"/>
      <c r="R6" s="3355"/>
      <c r="S6" s="3356"/>
      <c r="T6" s="3357"/>
      <c r="U6" s="3358"/>
      <c r="V6" s="3340"/>
      <c r="W6" s="3340"/>
      <c r="X6" s="1814"/>
      <c r="Y6" s="3357"/>
      <c r="Z6" s="3358"/>
      <c r="AA6" s="3343"/>
      <c r="AB6" s="3343"/>
      <c r="AC6" s="3343"/>
    </row>
    <row r="7" spans="1:29" s="116" customFormat="1" ht="15.75" thickBot="1">
      <c r="A7" s="407" t="s">
        <v>2529</v>
      </c>
      <c r="B7" s="408"/>
      <c r="C7" s="409">
        <f>'数据-取费表'!B2</f>
        <v>43444</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363" t="s">
        <v>2530</v>
      </c>
      <c r="Q7" s="3365"/>
      <c r="R7" s="769" t="s">
        <v>23</v>
      </c>
      <c r="S7" s="770">
        <f t="shared" ref="S7:S15" si="0">F7</f>
        <v>0</v>
      </c>
      <c r="T7" s="769" t="s">
        <v>23</v>
      </c>
      <c r="U7" s="770">
        <f t="shared" ref="U7:U15" si="1">H7</f>
        <v>0</v>
      </c>
      <c r="V7" s="769" t="s">
        <v>23</v>
      </c>
      <c r="W7" s="770">
        <f t="shared" ref="W7:W15" si="2">J7</f>
        <v>0</v>
      </c>
      <c r="X7" s="771"/>
      <c r="Y7" s="3363" t="s">
        <v>2530</v>
      </c>
      <c r="Z7" s="3364"/>
      <c r="AA7" s="772" t="e">
        <f>D7/F7</f>
        <v>#DIV/0!</v>
      </c>
      <c r="AB7" s="772" t="e">
        <f>D7/H7</f>
        <v>#DIV/0!</v>
      </c>
      <c r="AC7" s="772" t="e">
        <f>D7/J7</f>
        <v>#DIV/0!</v>
      </c>
    </row>
    <row r="8" spans="1:29" s="116" customFormat="1" ht="15.75" thickBot="1">
      <c r="A8" s="407" t="s">
        <v>2531</v>
      </c>
      <c r="B8" s="408"/>
      <c r="C8" s="413" t="s">
        <v>2532</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363" t="s">
        <v>2533</v>
      </c>
      <c r="Q8" s="3364"/>
      <c r="R8" s="769" t="s">
        <v>23</v>
      </c>
      <c r="S8" s="770">
        <f t="shared" si="0"/>
        <v>0</v>
      </c>
      <c r="T8" s="769" t="s">
        <v>23</v>
      </c>
      <c r="U8" s="770">
        <f t="shared" si="1"/>
        <v>0</v>
      </c>
      <c r="V8" s="769" t="s">
        <v>23</v>
      </c>
      <c r="W8" s="770">
        <f t="shared" si="2"/>
        <v>0</v>
      </c>
      <c r="X8" s="771"/>
      <c r="Y8" s="3363" t="s">
        <v>2533</v>
      </c>
      <c r="Z8" s="3364"/>
      <c r="AA8" s="772" t="e">
        <f t="shared" ref="AA8:AA19" si="3">D8/F8</f>
        <v>#DIV/0!</v>
      </c>
      <c r="AB8" s="772" t="e">
        <f t="shared" ref="AB8:AB19" si="4">D8/H8</f>
        <v>#DIV/0!</v>
      </c>
      <c r="AC8" s="772" t="e">
        <f t="shared" ref="AC8:AC19" si="5">D8/J8</f>
        <v>#DIV/0!</v>
      </c>
    </row>
    <row r="9" spans="1:29" s="116" customFormat="1">
      <c r="A9" s="414" t="s">
        <v>2534</v>
      </c>
      <c r="B9" s="70" t="s">
        <v>2535</v>
      </c>
      <c r="C9" s="415"/>
      <c r="D9" s="134">
        <v>100</v>
      </c>
      <c r="E9" s="416"/>
      <c r="F9" s="417">
        <f>SUMIF(63:63,E9,64:64)-SUMIF(63:63,C9,64:64)+100</f>
        <v>100</v>
      </c>
      <c r="G9" s="418"/>
      <c r="H9" s="134">
        <f>SUMIF(63:63,G9,64:64)-SUMIF(63:63,C9,64:64)+100</f>
        <v>100</v>
      </c>
      <c r="I9" s="418"/>
      <c r="J9" s="134">
        <f>SUMIF(63:63,I9,64:64)-SUMIF(63:63,C9,64:64)+100</f>
        <v>100</v>
      </c>
      <c r="K9" s="2597"/>
      <c r="L9" s="1134"/>
      <c r="M9" s="1135"/>
      <c r="N9" s="1135"/>
      <c r="O9" s="1135"/>
      <c r="P9" s="3333"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772">
        <f t="shared" si="5"/>
        <v>1</v>
      </c>
    </row>
    <row r="10" spans="1:29" s="426" customFormat="1" ht="27">
      <c r="A10" s="420"/>
      <c r="B10" s="421" t="s">
        <v>2538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33"/>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772">
        <f t="shared" si="5"/>
        <v>1</v>
      </c>
    </row>
    <row r="11" spans="1:29" ht="15">
      <c r="A11" s="427"/>
      <c r="B11" s="421" t="s">
        <v>2539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33"/>
      <c r="Q11" s="1796" t="str">
        <f t="shared" si="6"/>
        <v>容积率</v>
      </c>
      <c r="R11" s="769" t="s">
        <v>21</v>
      </c>
      <c r="S11" s="770" t="e">
        <f t="shared" si="0"/>
        <v>#N/A</v>
      </c>
      <c r="T11" s="769" t="s">
        <v>21</v>
      </c>
      <c r="U11" s="770" t="e">
        <f t="shared" si="1"/>
        <v>#N/A</v>
      </c>
      <c r="V11" s="769" t="s">
        <v>21</v>
      </c>
      <c r="W11" s="770" t="e">
        <f t="shared" si="2"/>
        <v>#N/A</v>
      </c>
      <c r="X11" s="771"/>
      <c r="Y11" s="3128"/>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4"/>
      <c r="M12" s="1135"/>
      <c r="N12" s="1135"/>
      <c r="O12" s="1135"/>
      <c r="P12" s="3333"/>
      <c r="Q12" s="1796">
        <f t="shared" si="6"/>
        <v>111</v>
      </c>
      <c r="R12" s="769" t="s">
        <v>21</v>
      </c>
      <c r="S12" s="770">
        <f t="shared" si="0"/>
        <v>100</v>
      </c>
      <c r="T12" s="769" t="s">
        <v>21</v>
      </c>
      <c r="U12" s="770">
        <f t="shared" si="1"/>
        <v>100</v>
      </c>
      <c r="V12" s="769" t="s">
        <v>21</v>
      </c>
      <c r="W12" s="770">
        <f t="shared" si="2"/>
        <v>100</v>
      </c>
      <c r="X12" s="771"/>
      <c r="Y12" s="3128"/>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333"/>
      <c r="Q13" s="1796">
        <f t="shared" si="6"/>
        <v>111</v>
      </c>
      <c r="R13" s="769" t="s">
        <v>21</v>
      </c>
      <c r="S13" s="770">
        <f t="shared" si="0"/>
        <v>100</v>
      </c>
      <c r="T13" s="769" t="s">
        <v>21</v>
      </c>
      <c r="U13" s="770">
        <f t="shared" si="1"/>
        <v>100</v>
      </c>
      <c r="V13" s="769" t="s">
        <v>21</v>
      </c>
      <c r="W13" s="770">
        <f t="shared" si="2"/>
        <v>100</v>
      </c>
      <c r="X13" s="771"/>
      <c r="Y13" s="3128"/>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333"/>
      <c r="Q14" s="1796">
        <f t="shared" si="6"/>
        <v>111</v>
      </c>
      <c r="R14" s="769" t="s">
        <v>21</v>
      </c>
      <c r="S14" s="770">
        <f t="shared" si="0"/>
        <v>100</v>
      </c>
      <c r="T14" s="769" t="s">
        <v>21</v>
      </c>
      <c r="U14" s="770">
        <f t="shared" si="1"/>
        <v>100</v>
      </c>
      <c r="V14" s="769" t="s">
        <v>21</v>
      </c>
      <c r="W14" s="770">
        <f t="shared" si="2"/>
        <v>100</v>
      </c>
      <c r="X14" s="771"/>
      <c r="Y14" s="3128"/>
      <c r="Z14" s="55">
        <f t="shared" si="7"/>
        <v>111</v>
      </c>
      <c r="AA14" s="772">
        <f t="shared" si="3"/>
        <v>1</v>
      </c>
      <c r="AB14" s="772">
        <f t="shared" si="4"/>
        <v>1</v>
      </c>
      <c r="AC14" s="772">
        <f t="shared" si="5"/>
        <v>1</v>
      </c>
    </row>
    <row r="15" spans="1:29" ht="15">
      <c r="A15" s="439" t="s">
        <v>2540</v>
      </c>
      <c r="B15" s="68" t="s">
        <v>2076</v>
      </c>
      <c r="C15" s="2602" t="str">
        <f>估价对象房地状况!C3</f>
        <v>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403" t="s">
        <v>2541</v>
      </c>
      <c r="Q15" s="1811" t="str">
        <f t="shared" si="6"/>
        <v>居住社区成熟度</v>
      </c>
      <c r="R15" s="773" t="s">
        <v>21</v>
      </c>
      <c r="S15" s="774">
        <f t="shared" si="0"/>
        <v>100</v>
      </c>
      <c r="T15" s="773" t="s">
        <v>21</v>
      </c>
      <c r="U15" s="774">
        <f t="shared" si="1"/>
        <v>100</v>
      </c>
      <c r="V15" s="773" t="s">
        <v>21</v>
      </c>
      <c r="W15" s="774">
        <f t="shared" si="2"/>
        <v>100</v>
      </c>
      <c r="X15" s="1814"/>
      <c r="Y15" s="3336" t="s">
        <v>2541</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2"/>
      <c r="M16" s="1133"/>
      <c r="N16" s="1133"/>
      <c r="O16" s="1133"/>
      <c r="P16" s="3404"/>
      <c r="Q16" s="1811"/>
      <c r="R16" s="773"/>
      <c r="S16" s="774"/>
      <c r="T16" s="773"/>
      <c r="U16" s="774"/>
      <c r="V16" s="773"/>
      <c r="W16" s="774"/>
      <c r="X16" s="1814"/>
      <c r="Y16" s="3337"/>
      <c r="Z16" s="1815"/>
      <c r="AA16" s="1812">
        <v>1</v>
      </c>
      <c r="AB16" s="1812">
        <v>1</v>
      </c>
      <c r="AC16" s="1812">
        <v>1</v>
      </c>
    </row>
    <row r="17" spans="1:29" ht="15">
      <c r="A17" s="427"/>
      <c r="B17" s="450" t="s">
        <v>2082</v>
      </c>
      <c r="C17" s="2606" t="str">
        <f>估价对象房地状况!C6</f>
        <v>一般</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404"/>
      <c r="Q17" s="1811" t="str">
        <f>B17</f>
        <v>交通便捷度</v>
      </c>
      <c r="R17" s="773" t="s">
        <v>21</v>
      </c>
      <c r="S17" s="774">
        <f>F17</f>
        <v>100</v>
      </c>
      <c r="T17" s="773" t="s">
        <v>21</v>
      </c>
      <c r="U17" s="774">
        <f>H17</f>
        <v>100</v>
      </c>
      <c r="V17" s="773" t="s">
        <v>21</v>
      </c>
      <c r="W17" s="774">
        <f>J17</f>
        <v>100</v>
      </c>
      <c r="X17" s="1814"/>
      <c r="Y17" s="3337"/>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2"/>
      <c r="M18" s="1133"/>
      <c r="N18" s="1133"/>
      <c r="O18" s="1133"/>
      <c r="P18" s="3404"/>
      <c r="Q18" s="1811"/>
      <c r="R18" s="773"/>
      <c r="S18" s="774"/>
      <c r="T18" s="773"/>
      <c r="U18" s="774"/>
      <c r="V18" s="773"/>
      <c r="W18" s="774"/>
      <c r="X18" s="1814"/>
      <c r="Y18" s="3337"/>
      <c r="Z18" s="1815"/>
      <c r="AA18" s="1812">
        <v>1</v>
      </c>
      <c r="AB18" s="1812">
        <v>1</v>
      </c>
      <c r="AC18" s="1812">
        <v>1</v>
      </c>
    </row>
    <row r="19" spans="1:29" ht="15">
      <c r="A19" s="427"/>
      <c r="B19" s="450" t="s">
        <v>2081</v>
      </c>
      <c r="C19" s="2606" t="str">
        <f>估价对象房地状况!C7</f>
        <v>一般</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404"/>
      <c r="Q19" s="1811" t="str">
        <f>B19</f>
        <v>公共配套设施</v>
      </c>
      <c r="R19" s="773" t="s">
        <v>21</v>
      </c>
      <c r="S19" s="774">
        <f>F19</f>
        <v>100</v>
      </c>
      <c r="T19" s="773" t="s">
        <v>21</v>
      </c>
      <c r="U19" s="774">
        <f>H19</f>
        <v>100</v>
      </c>
      <c r="V19" s="773" t="s">
        <v>21</v>
      </c>
      <c r="W19" s="774">
        <f>J19</f>
        <v>100</v>
      </c>
      <c r="X19" s="1814"/>
      <c r="Y19" s="3337"/>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2"/>
      <c r="M20" s="1133"/>
      <c r="N20" s="1133"/>
      <c r="O20" s="1133"/>
      <c r="P20" s="3404"/>
      <c r="Q20" s="1811"/>
      <c r="R20" s="773"/>
      <c r="S20" s="774"/>
      <c r="T20" s="773"/>
      <c r="U20" s="774"/>
      <c r="V20" s="773"/>
      <c r="W20" s="774"/>
      <c r="X20" s="1814"/>
      <c r="Y20" s="3337"/>
      <c r="Z20" s="1815"/>
      <c r="AA20" s="1812">
        <v>1</v>
      </c>
      <c r="AB20" s="1812">
        <v>1</v>
      </c>
      <c r="AC20" s="1812">
        <v>1</v>
      </c>
    </row>
    <row r="21" spans="1:29" ht="15">
      <c r="A21" s="427"/>
      <c r="B21" s="1386" t="s">
        <v>2083</v>
      </c>
      <c r="C21" s="260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404"/>
      <c r="Q21" s="1811" t="str">
        <f>B21</f>
        <v>基础设施水平</v>
      </c>
      <c r="R21" s="773" t="s">
        <v>17</v>
      </c>
      <c r="S21" s="774">
        <f>F21</f>
        <v>100</v>
      </c>
      <c r="T21" s="773" t="s">
        <v>17</v>
      </c>
      <c r="U21" s="774">
        <f>H21</f>
        <v>100</v>
      </c>
      <c r="V21" s="773" t="s">
        <v>17</v>
      </c>
      <c r="W21" s="774">
        <f>J21</f>
        <v>100</v>
      </c>
      <c r="X21" s="1814"/>
      <c r="Y21" s="3337"/>
      <c r="Z21" s="1815" t="str">
        <f>Q21</f>
        <v>基础设施水平</v>
      </c>
      <c r="AA21" s="1812">
        <f t="shared" ref="AA21" si="8">D21/F21</f>
        <v>1</v>
      </c>
      <c r="AB21" s="1812">
        <f t="shared" ref="AB21" si="9">D21/H21</f>
        <v>1</v>
      </c>
      <c r="AC21" s="1812">
        <f t="shared" ref="AC21" si="10">D21/J21</f>
        <v>1</v>
      </c>
    </row>
    <row r="22" spans="1:29" ht="15">
      <c r="A22" s="427"/>
      <c r="B22" s="1386"/>
      <c r="C22" s="2607"/>
      <c r="D22" s="447"/>
      <c r="E22" s="446"/>
      <c r="F22" s="447"/>
      <c r="G22" s="2610"/>
      <c r="H22" s="447"/>
      <c r="I22" s="446"/>
      <c r="J22" s="447"/>
      <c r="K22" s="2611"/>
      <c r="L22" s="1142"/>
      <c r="M22" s="1133"/>
      <c r="N22" s="1133"/>
      <c r="O22" s="1133"/>
      <c r="P22" s="3404"/>
      <c r="Q22" s="1811"/>
      <c r="R22" s="773"/>
      <c r="S22" s="774"/>
      <c r="T22" s="773"/>
      <c r="U22" s="774"/>
      <c r="V22" s="773"/>
      <c r="W22" s="774"/>
      <c r="X22" s="1814"/>
      <c r="Y22" s="3337"/>
      <c r="Z22" s="1815"/>
      <c r="AA22" s="1812">
        <v>1</v>
      </c>
      <c r="AB22" s="1812">
        <v>1</v>
      </c>
      <c r="AC22" s="1812">
        <v>1</v>
      </c>
    </row>
    <row r="23" spans="1:29" ht="15">
      <c r="A23" s="427"/>
      <c r="B23" s="450" t="s">
        <v>2085</v>
      </c>
      <c r="C23" s="2606"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404"/>
      <c r="Q23" s="1811" t="str">
        <f>B23</f>
        <v>自然及人文环境</v>
      </c>
      <c r="R23" s="773" t="s">
        <v>21</v>
      </c>
      <c r="S23" s="774">
        <f>F23</f>
        <v>100</v>
      </c>
      <c r="T23" s="773" t="s">
        <v>21</v>
      </c>
      <c r="U23" s="774">
        <f>H23</f>
        <v>100</v>
      </c>
      <c r="V23" s="773" t="s">
        <v>21</v>
      </c>
      <c r="W23" s="774">
        <f>J23</f>
        <v>100</v>
      </c>
      <c r="X23" s="1814"/>
      <c r="Y23" s="3337"/>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2"/>
      <c r="M24" s="1133"/>
      <c r="N24" s="1133"/>
      <c r="O24" s="1133"/>
      <c r="P24" s="3404"/>
      <c r="Q24" s="1811"/>
      <c r="R24" s="773"/>
      <c r="S24" s="774"/>
      <c r="T24" s="773"/>
      <c r="U24" s="774"/>
      <c r="V24" s="773"/>
      <c r="W24" s="774"/>
      <c r="X24" s="1814"/>
      <c r="Y24" s="3337"/>
      <c r="Z24" s="1815"/>
      <c r="AA24" s="1812">
        <v>1</v>
      </c>
      <c r="AB24" s="1812">
        <v>1</v>
      </c>
      <c r="AC24" s="1812">
        <v>1</v>
      </c>
    </row>
    <row r="25" spans="1:29" ht="15">
      <c r="A25" s="427"/>
      <c r="B25" s="421" t="s">
        <v>2542</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40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337"/>
      <c r="Z25" s="1815" t="str">
        <f>Q25</f>
        <v>楼层-1</v>
      </c>
      <c r="AA25" s="1812">
        <f t="shared" ref="AA25:AA46" si="15">D25/F25</f>
        <v>1</v>
      </c>
      <c r="AB25" s="1812">
        <f t="shared" ref="AB25:AB46" si="16">D25/H25</f>
        <v>1</v>
      </c>
      <c r="AC25" s="1812">
        <f t="shared" ref="AC25:AC46" si="17">D25/J25</f>
        <v>1</v>
      </c>
    </row>
    <row r="26" spans="1:29" ht="15">
      <c r="A26" s="427"/>
      <c r="B26" s="421" t="s">
        <v>2543</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404"/>
      <c r="Q26" s="1811" t="str">
        <f t="shared" si="11"/>
        <v>朝向</v>
      </c>
      <c r="R26" s="773" t="s">
        <v>21</v>
      </c>
      <c r="S26" s="774">
        <f t="shared" si="12"/>
        <v>100</v>
      </c>
      <c r="T26" s="773" t="s">
        <v>21</v>
      </c>
      <c r="U26" s="774">
        <f t="shared" si="13"/>
        <v>100</v>
      </c>
      <c r="V26" s="773" t="s">
        <v>21</v>
      </c>
      <c r="W26" s="774">
        <f t="shared" si="14"/>
        <v>100</v>
      </c>
      <c r="X26" s="1814"/>
      <c r="Y26" s="3337"/>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404"/>
      <c r="Q27" s="1796">
        <f t="shared" si="11"/>
        <v>111</v>
      </c>
      <c r="R27" s="769" t="s">
        <v>21</v>
      </c>
      <c r="S27" s="770">
        <f t="shared" si="12"/>
        <v>100</v>
      </c>
      <c r="T27" s="769" t="s">
        <v>21</v>
      </c>
      <c r="U27" s="770">
        <f t="shared" si="13"/>
        <v>100</v>
      </c>
      <c r="V27" s="769" t="s">
        <v>21</v>
      </c>
      <c r="W27" s="770">
        <f t="shared" si="14"/>
        <v>100</v>
      </c>
      <c r="X27" s="771"/>
      <c r="Y27" s="3337"/>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404"/>
      <c r="Q28" s="1811">
        <f t="shared" si="11"/>
        <v>111</v>
      </c>
      <c r="R28" s="773" t="s">
        <v>21</v>
      </c>
      <c r="S28" s="774">
        <f t="shared" si="12"/>
        <v>100</v>
      </c>
      <c r="T28" s="773" t="s">
        <v>21</v>
      </c>
      <c r="U28" s="774">
        <f t="shared" si="13"/>
        <v>100</v>
      </c>
      <c r="V28" s="773" t="s">
        <v>21</v>
      </c>
      <c r="W28" s="774">
        <f t="shared" si="14"/>
        <v>100</v>
      </c>
      <c r="X28" s="1814"/>
      <c r="Y28" s="3337"/>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404"/>
      <c r="Q29" s="1811">
        <f t="shared" si="11"/>
        <v>111</v>
      </c>
      <c r="R29" s="773" t="s">
        <v>21</v>
      </c>
      <c r="S29" s="774">
        <f t="shared" si="12"/>
        <v>100</v>
      </c>
      <c r="T29" s="773" t="s">
        <v>21</v>
      </c>
      <c r="U29" s="774">
        <f t="shared" si="13"/>
        <v>100</v>
      </c>
      <c r="V29" s="773" t="s">
        <v>21</v>
      </c>
      <c r="W29" s="774">
        <f t="shared" si="14"/>
        <v>100</v>
      </c>
      <c r="X29" s="1814"/>
      <c r="Y29" s="3337"/>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404"/>
      <c r="Q30" s="1811">
        <f t="shared" si="11"/>
        <v>111</v>
      </c>
      <c r="R30" s="773" t="s">
        <v>21</v>
      </c>
      <c r="S30" s="774">
        <f t="shared" si="12"/>
        <v>100</v>
      </c>
      <c r="T30" s="773" t="s">
        <v>21</v>
      </c>
      <c r="U30" s="774">
        <f t="shared" si="13"/>
        <v>100</v>
      </c>
      <c r="V30" s="773" t="s">
        <v>21</v>
      </c>
      <c r="W30" s="774">
        <f t="shared" si="14"/>
        <v>100</v>
      </c>
      <c r="X30" s="1814"/>
      <c r="Y30" s="3337"/>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404"/>
      <c r="Q31" s="1811">
        <f t="shared" si="11"/>
        <v>111</v>
      </c>
      <c r="R31" s="773" t="s">
        <v>21</v>
      </c>
      <c r="S31" s="774">
        <f t="shared" si="12"/>
        <v>100</v>
      </c>
      <c r="T31" s="773" t="s">
        <v>21</v>
      </c>
      <c r="U31" s="774">
        <f t="shared" si="13"/>
        <v>100</v>
      </c>
      <c r="V31" s="773" t="s">
        <v>21</v>
      </c>
      <c r="W31" s="774">
        <f t="shared" si="14"/>
        <v>100</v>
      </c>
      <c r="X31" s="1814"/>
      <c r="Y31" s="3337"/>
      <c r="Z31" s="1815">
        <f t="shared" si="18"/>
        <v>111</v>
      </c>
      <c r="AA31" s="1812">
        <f t="shared" si="15"/>
        <v>1</v>
      </c>
      <c r="AB31" s="1812">
        <f t="shared" si="16"/>
        <v>1</v>
      </c>
      <c r="AC31" s="1812">
        <f t="shared" si="17"/>
        <v>1</v>
      </c>
    </row>
    <row r="32" spans="1:29" ht="15">
      <c r="A32" s="439" t="s">
        <v>2544</v>
      </c>
      <c r="B32" s="70" t="s">
        <v>2545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399" t="s">
        <v>2546</v>
      </c>
      <c r="Q32" s="1811" t="str">
        <f t="shared" si="11"/>
        <v>建筑类型</v>
      </c>
      <c r="R32" s="773" t="s">
        <v>21</v>
      </c>
      <c r="S32" s="774">
        <f t="shared" si="12"/>
        <v>100</v>
      </c>
      <c r="T32" s="773" t="s">
        <v>21</v>
      </c>
      <c r="U32" s="774">
        <f t="shared" si="13"/>
        <v>100</v>
      </c>
      <c r="V32" s="773" t="s">
        <v>21</v>
      </c>
      <c r="W32" s="774">
        <f t="shared" si="14"/>
        <v>100</v>
      </c>
      <c r="X32" s="1814"/>
      <c r="Y32" s="3339" t="s">
        <v>2546</v>
      </c>
      <c r="Z32" s="1815" t="str">
        <f t="shared" si="18"/>
        <v>建筑类型</v>
      </c>
      <c r="AA32" s="1812">
        <f t="shared" si="15"/>
        <v>1</v>
      </c>
      <c r="AB32" s="1812">
        <f t="shared" si="16"/>
        <v>1</v>
      </c>
      <c r="AC32" s="1812">
        <f t="shared" si="17"/>
        <v>1</v>
      </c>
    </row>
    <row r="33" spans="1:29" s="470" customFormat="1" ht="15">
      <c r="A33" s="467"/>
      <c r="B33" s="421" t="s">
        <v>2547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40"/>
      <c r="M33" s="1143"/>
      <c r="N33" s="1143"/>
      <c r="O33" s="1143"/>
      <c r="P33" s="3400"/>
      <c r="Q33" s="775" t="str">
        <f t="shared" si="11"/>
        <v>项目建筑规模</v>
      </c>
      <c r="R33" s="776" t="s">
        <v>21</v>
      </c>
      <c r="S33" s="777" t="e">
        <f t="shared" si="12"/>
        <v>#N/A</v>
      </c>
      <c r="T33" s="776" t="s">
        <v>21</v>
      </c>
      <c r="U33" s="777" t="e">
        <f t="shared" si="13"/>
        <v>#N/A</v>
      </c>
      <c r="V33" s="776" t="s">
        <v>21</v>
      </c>
      <c r="W33" s="777" t="e">
        <f t="shared" si="14"/>
        <v>#N/A</v>
      </c>
      <c r="X33" s="778"/>
      <c r="Y33" s="3339"/>
      <c r="Z33" s="779" t="str">
        <f t="shared" si="18"/>
        <v>项目建筑规模</v>
      </c>
      <c r="AA33" s="1812" t="e">
        <f t="shared" si="15"/>
        <v>#N/A</v>
      </c>
      <c r="AB33" s="1812" t="e">
        <f t="shared" si="16"/>
        <v>#N/A</v>
      </c>
      <c r="AC33" s="1812" t="e">
        <f t="shared" si="17"/>
        <v>#N/A</v>
      </c>
    </row>
    <row r="34" spans="1:29" ht="15">
      <c r="A34" s="471"/>
      <c r="B34" s="421" t="s">
        <v>2548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400"/>
      <c r="Q34" s="1811" t="str">
        <f t="shared" si="11"/>
        <v>建筑结构</v>
      </c>
      <c r="R34" s="773" t="s">
        <v>21</v>
      </c>
      <c r="S34" s="774">
        <f t="shared" si="12"/>
        <v>100</v>
      </c>
      <c r="T34" s="773" t="s">
        <v>21</v>
      </c>
      <c r="U34" s="774">
        <f t="shared" si="13"/>
        <v>100</v>
      </c>
      <c r="V34" s="773" t="s">
        <v>21</v>
      </c>
      <c r="W34" s="774">
        <f t="shared" si="14"/>
        <v>100</v>
      </c>
      <c r="X34" s="1814"/>
      <c r="Y34" s="3339"/>
      <c r="Z34" s="1815" t="str">
        <f t="shared" si="18"/>
        <v>建筑结构</v>
      </c>
      <c r="AA34" s="1812">
        <f t="shared" si="15"/>
        <v>1</v>
      </c>
      <c r="AB34" s="1812">
        <f t="shared" si="16"/>
        <v>1</v>
      </c>
      <c r="AC34" s="1812">
        <f t="shared" si="17"/>
        <v>1</v>
      </c>
    </row>
    <row r="35" spans="1:29" ht="15">
      <c r="A35" s="471"/>
      <c r="B35" s="421" t="s">
        <v>2549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400"/>
      <c r="Q35" s="1811" t="str">
        <f t="shared" si="11"/>
        <v>建筑品质</v>
      </c>
      <c r="R35" s="773" t="s">
        <v>21</v>
      </c>
      <c r="S35" s="774">
        <f t="shared" si="12"/>
        <v>100</v>
      </c>
      <c r="T35" s="773" t="s">
        <v>21</v>
      </c>
      <c r="U35" s="774">
        <f t="shared" si="13"/>
        <v>100</v>
      </c>
      <c r="V35" s="773" t="s">
        <v>21</v>
      </c>
      <c r="W35" s="774">
        <f t="shared" si="14"/>
        <v>100</v>
      </c>
      <c r="X35" s="1814"/>
      <c r="Y35" s="3339"/>
      <c r="Z35" s="1815" t="str">
        <f t="shared" si="18"/>
        <v>建筑品质</v>
      </c>
      <c r="AA35" s="1812">
        <f t="shared" si="15"/>
        <v>1</v>
      </c>
      <c r="AB35" s="1812">
        <f t="shared" si="16"/>
        <v>1</v>
      </c>
      <c r="AC35" s="1812">
        <f t="shared" si="17"/>
        <v>1</v>
      </c>
    </row>
    <row r="36" spans="1:29" ht="15">
      <c r="A36" s="471"/>
      <c r="B36" s="421" t="s">
        <v>2550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400"/>
      <c r="Q36" s="1811" t="str">
        <f t="shared" si="11"/>
        <v>公共部分装修</v>
      </c>
      <c r="R36" s="773" t="s">
        <v>21</v>
      </c>
      <c r="S36" s="774">
        <f t="shared" si="12"/>
        <v>100</v>
      </c>
      <c r="T36" s="773" t="s">
        <v>21</v>
      </c>
      <c r="U36" s="774">
        <f t="shared" si="13"/>
        <v>100</v>
      </c>
      <c r="V36" s="773" t="s">
        <v>21</v>
      </c>
      <c r="W36" s="774">
        <f t="shared" si="14"/>
        <v>100</v>
      </c>
      <c r="X36" s="1814"/>
      <c r="Y36" s="3339"/>
      <c r="Z36" s="1815" t="str">
        <f t="shared" si="18"/>
        <v>公共部分装修</v>
      </c>
      <c r="AA36" s="1812">
        <f t="shared" si="15"/>
        <v>1</v>
      </c>
      <c r="AB36" s="1812">
        <f t="shared" si="16"/>
        <v>1</v>
      </c>
      <c r="AC36" s="1812">
        <f t="shared" si="17"/>
        <v>1</v>
      </c>
    </row>
    <row r="37" spans="1:29" s="116" customFormat="1" ht="15">
      <c r="A37" s="472"/>
      <c r="B37" s="421" t="s">
        <v>2551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400"/>
      <c r="Q37" s="1796" t="str">
        <f t="shared" si="11"/>
        <v>成新度</v>
      </c>
      <c r="R37" s="769" t="s">
        <v>21</v>
      </c>
      <c r="S37" s="770" t="e">
        <f t="shared" si="12"/>
        <v>#N/A</v>
      </c>
      <c r="T37" s="769" t="s">
        <v>21</v>
      </c>
      <c r="U37" s="770" t="e">
        <f t="shared" si="13"/>
        <v>#N/A</v>
      </c>
      <c r="V37" s="769" t="s">
        <v>21</v>
      </c>
      <c r="W37" s="770" t="e">
        <f t="shared" si="14"/>
        <v>#N/A</v>
      </c>
      <c r="X37" s="771"/>
      <c r="Y37" s="3339"/>
      <c r="Z37" s="55" t="str">
        <f t="shared" si="18"/>
        <v>成新度</v>
      </c>
      <c r="AA37" s="772" t="e">
        <f t="shared" si="15"/>
        <v>#N/A</v>
      </c>
      <c r="AB37" s="772" t="e">
        <f t="shared" si="16"/>
        <v>#N/A</v>
      </c>
      <c r="AC37" s="772" t="e">
        <f t="shared" si="17"/>
        <v>#N/A</v>
      </c>
    </row>
    <row r="38" spans="1:29" ht="15">
      <c r="A38" s="471"/>
      <c r="B38" s="421" t="s">
        <v>2552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400" t="s">
        <v>2546</v>
      </c>
      <c r="Q38" s="1811" t="str">
        <f t="shared" si="11"/>
        <v>物业管理</v>
      </c>
      <c r="R38" s="773" t="s">
        <v>21</v>
      </c>
      <c r="S38" s="774">
        <f t="shared" si="12"/>
        <v>100</v>
      </c>
      <c r="T38" s="773" t="s">
        <v>21</v>
      </c>
      <c r="U38" s="774">
        <f t="shared" si="13"/>
        <v>100</v>
      </c>
      <c r="V38" s="773" t="s">
        <v>21</v>
      </c>
      <c r="W38" s="774">
        <f t="shared" si="14"/>
        <v>100</v>
      </c>
      <c r="X38" s="1814"/>
      <c r="Y38" s="3339" t="s">
        <v>2546</v>
      </c>
      <c r="Z38" s="1815" t="str">
        <f t="shared" si="18"/>
        <v>物业管理</v>
      </c>
      <c r="AA38" s="1812">
        <f t="shared" si="15"/>
        <v>1</v>
      </c>
      <c r="AB38" s="1812">
        <f t="shared" si="16"/>
        <v>1</v>
      </c>
      <c r="AC38" s="1812">
        <f t="shared" si="17"/>
        <v>1</v>
      </c>
    </row>
    <row r="39" spans="1:29" ht="15">
      <c r="A39" s="471"/>
      <c r="B39" s="421" t="s">
        <v>2553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400"/>
      <c r="Q39" s="1811" t="str">
        <f t="shared" si="11"/>
        <v>市政基础设施</v>
      </c>
      <c r="R39" s="773" t="s">
        <v>21</v>
      </c>
      <c r="S39" s="774">
        <f t="shared" si="12"/>
        <v>100</v>
      </c>
      <c r="T39" s="773" t="s">
        <v>21</v>
      </c>
      <c r="U39" s="774">
        <f t="shared" si="13"/>
        <v>100</v>
      </c>
      <c r="V39" s="773" t="s">
        <v>21</v>
      </c>
      <c r="W39" s="774">
        <f t="shared" si="14"/>
        <v>100</v>
      </c>
      <c r="X39" s="1814"/>
      <c r="Y39" s="3339"/>
      <c r="Z39" s="1815" t="str">
        <f t="shared" si="18"/>
        <v>市政基础设施</v>
      </c>
      <c r="AA39" s="1812">
        <f t="shared" si="15"/>
        <v>1</v>
      </c>
      <c r="AB39" s="1812">
        <f t="shared" si="16"/>
        <v>1</v>
      </c>
      <c r="AC39" s="1812">
        <f t="shared" si="17"/>
        <v>1</v>
      </c>
    </row>
    <row r="40" spans="1:29" ht="15">
      <c r="A40" s="471"/>
      <c r="B40" s="421" t="s">
        <v>2554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400"/>
      <c r="Q40" s="1811" t="str">
        <f t="shared" si="11"/>
        <v>房型</v>
      </c>
      <c r="R40" s="773" t="s">
        <v>21</v>
      </c>
      <c r="S40" s="774">
        <f t="shared" si="12"/>
        <v>100</v>
      </c>
      <c r="T40" s="773" t="s">
        <v>21</v>
      </c>
      <c r="U40" s="774">
        <f t="shared" si="13"/>
        <v>100</v>
      </c>
      <c r="V40" s="773" t="s">
        <v>21</v>
      </c>
      <c r="W40" s="774">
        <f t="shared" si="14"/>
        <v>100</v>
      </c>
      <c r="X40" s="1814"/>
      <c r="Y40" s="3339"/>
      <c r="Z40" s="1815" t="str">
        <f t="shared" si="18"/>
        <v>房型</v>
      </c>
      <c r="AA40" s="1812">
        <f t="shared" si="15"/>
        <v>1</v>
      </c>
      <c r="AB40" s="1812">
        <f t="shared" si="16"/>
        <v>1</v>
      </c>
      <c r="AC40" s="1812">
        <f t="shared" si="17"/>
        <v>1</v>
      </c>
    </row>
    <row r="41" spans="1:29" s="470" customFormat="1" ht="28.5">
      <c r="A41" s="467"/>
      <c r="B41" s="421" t="s">
        <v>2555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40"/>
      <c r="M41" s="1143"/>
      <c r="N41" s="1143"/>
      <c r="O41" s="1143"/>
      <c r="P41" s="3400"/>
      <c r="Q41" s="775" t="str">
        <f t="shared" si="11"/>
        <v>单套/主力户型建筑面积</v>
      </c>
      <c r="R41" s="776" t="s">
        <v>21</v>
      </c>
      <c r="S41" s="777">
        <f t="shared" si="12"/>
        <v>100</v>
      </c>
      <c r="T41" s="776" t="s">
        <v>21</v>
      </c>
      <c r="U41" s="777">
        <f t="shared" si="13"/>
        <v>100</v>
      </c>
      <c r="V41" s="776" t="s">
        <v>21</v>
      </c>
      <c r="W41" s="777">
        <f t="shared" si="14"/>
        <v>100</v>
      </c>
      <c r="X41" s="778"/>
      <c r="Y41" s="3339"/>
      <c r="Z41" s="779" t="str">
        <f t="shared" si="18"/>
        <v>单套/主力户型建筑面积</v>
      </c>
      <c r="AA41" s="1812">
        <f t="shared" si="15"/>
        <v>1</v>
      </c>
      <c r="AB41" s="1812">
        <f t="shared" si="16"/>
        <v>1</v>
      </c>
      <c r="AC41" s="1812">
        <f t="shared" si="17"/>
        <v>1</v>
      </c>
    </row>
    <row r="42" spans="1:29" ht="15">
      <c r="A42" s="471"/>
      <c r="B42" s="421" t="s">
        <v>2556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400"/>
      <c r="Q42" s="1811" t="str">
        <f t="shared" si="11"/>
        <v>内部装修</v>
      </c>
      <c r="R42" s="773" t="s">
        <v>21</v>
      </c>
      <c r="S42" s="774">
        <f t="shared" si="12"/>
        <v>100</v>
      </c>
      <c r="T42" s="773" t="s">
        <v>21</v>
      </c>
      <c r="U42" s="774">
        <f t="shared" si="13"/>
        <v>100</v>
      </c>
      <c r="V42" s="773" t="s">
        <v>21</v>
      </c>
      <c r="W42" s="774">
        <f t="shared" si="14"/>
        <v>100</v>
      </c>
      <c r="X42" s="1814"/>
      <c r="Y42" s="3339"/>
      <c r="Z42" s="1815" t="str">
        <f t="shared" si="18"/>
        <v>内部装修</v>
      </c>
      <c r="AA42" s="1812">
        <f t="shared" si="15"/>
        <v>1</v>
      </c>
      <c r="AB42" s="1812">
        <f t="shared" si="16"/>
        <v>1</v>
      </c>
      <c r="AC42" s="1812">
        <f t="shared" si="17"/>
        <v>1</v>
      </c>
    </row>
    <row r="43" spans="1:29" ht="15">
      <c r="A43" s="471"/>
      <c r="B43" s="421" t="s">
        <v>2557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400"/>
      <c r="Q43" s="1811" t="str">
        <f t="shared" si="11"/>
        <v>内部装修维护情况</v>
      </c>
      <c r="R43" s="773" t="s">
        <v>21</v>
      </c>
      <c r="S43" s="774">
        <f t="shared" si="12"/>
        <v>100</v>
      </c>
      <c r="T43" s="773" t="s">
        <v>21</v>
      </c>
      <c r="U43" s="774">
        <f t="shared" si="13"/>
        <v>100</v>
      </c>
      <c r="V43" s="773" t="s">
        <v>21</v>
      </c>
      <c r="W43" s="774">
        <f t="shared" si="14"/>
        <v>100</v>
      </c>
      <c r="X43" s="1814"/>
      <c r="Y43" s="3339"/>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4"/>
      <c r="M44" s="1135"/>
      <c r="N44" s="1135"/>
      <c r="O44" s="1135"/>
      <c r="P44" s="3400"/>
      <c r="Q44" s="1796">
        <f t="shared" si="11"/>
        <v>111</v>
      </c>
      <c r="R44" s="769" t="s">
        <v>21</v>
      </c>
      <c r="S44" s="770">
        <f t="shared" si="12"/>
        <v>100</v>
      </c>
      <c r="T44" s="769" t="s">
        <v>21</v>
      </c>
      <c r="U44" s="770">
        <f t="shared" si="13"/>
        <v>100</v>
      </c>
      <c r="V44" s="769" t="s">
        <v>21</v>
      </c>
      <c r="W44" s="770">
        <f t="shared" si="14"/>
        <v>100</v>
      </c>
      <c r="X44" s="771"/>
      <c r="Y44" s="333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400"/>
      <c r="Q45" s="1811">
        <f t="shared" si="11"/>
        <v>111</v>
      </c>
      <c r="R45" s="773" t="s">
        <v>21</v>
      </c>
      <c r="S45" s="774">
        <f t="shared" si="12"/>
        <v>100</v>
      </c>
      <c r="T45" s="773" t="s">
        <v>21</v>
      </c>
      <c r="U45" s="774">
        <f t="shared" si="13"/>
        <v>100</v>
      </c>
      <c r="V45" s="773" t="s">
        <v>21</v>
      </c>
      <c r="W45" s="774">
        <f t="shared" si="14"/>
        <v>100</v>
      </c>
      <c r="X45" s="1814"/>
      <c r="Y45" s="3339"/>
      <c r="Z45" s="1815">
        <f t="shared" si="18"/>
        <v>111</v>
      </c>
      <c r="AA45" s="1812">
        <f t="shared" si="15"/>
        <v>1</v>
      </c>
      <c r="AB45" s="1812">
        <f t="shared" si="16"/>
        <v>1</v>
      </c>
      <c r="AC45" s="1812">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401"/>
      <c r="Q46" s="1811">
        <f t="shared" si="11"/>
        <v>111</v>
      </c>
      <c r="R46" s="773" t="s">
        <v>20</v>
      </c>
      <c r="S46" s="774">
        <f t="shared" si="12"/>
        <v>100</v>
      </c>
      <c r="T46" s="773" t="s">
        <v>20</v>
      </c>
      <c r="U46" s="774">
        <f t="shared" si="13"/>
        <v>100</v>
      </c>
      <c r="V46" s="773" t="s">
        <v>20</v>
      </c>
      <c r="W46" s="774">
        <f t="shared" si="14"/>
        <v>100</v>
      </c>
      <c r="X46" s="1814"/>
      <c r="Y46" s="3402"/>
      <c r="Z46" s="1815">
        <f t="shared" si="18"/>
        <v>111</v>
      </c>
      <c r="AA46" s="1812">
        <f t="shared" si="15"/>
        <v>1</v>
      </c>
      <c r="AB46" s="1812">
        <f t="shared" si="16"/>
        <v>1</v>
      </c>
      <c r="AC46" s="1812">
        <f t="shared" si="17"/>
        <v>1</v>
      </c>
    </row>
    <row r="47" spans="1:29" ht="15">
      <c r="A47" s="478" t="s">
        <v>2558</v>
      </c>
      <c r="B47" s="479"/>
      <c r="C47" s="1409" t="s">
        <v>19</v>
      </c>
      <c r="D47" s="1410"/>
      <c r="E47" s="1411"/>
      <c r="F47" s="1412"/>
      <c r="G47" s="1413"/>
      <c r="H47" s="1414"/>
      <c r="I47" s="1411"/>
      <c r="J47" s="1414"/>
      <c r="K47" s="2620"/>
      <c r="L47" s="1145"/>
      <c r="M47" s="1146"/>
      <c r="N47" s="1133"/>
      <c r="O47" s="1146"/>
      <c r="P47" s="3334" t="str">
        <f>A47</f>
        <v>成交单价（元/平方米）</v>
      </c>
      <c r="Q47" s="3334"/>
      <c r="R47" s="3398">
        <f>E47</f>
        <v>0</v>
      </c>
      <c r="S47" s="3398"/>
      <c r="T47" s="3398">
        <f>G47</f>
        <v>0</v>
      </c>
      <c r="U47" s="3398"/>
      <c r="V47" s="3398">
        <f>I47</f>
        <v>0</v>
      </c>
      <c r="W47" s="3398"/>
      <c r="X47" s="758"/>
      <c r="Y47" s="780"/>
      <c r="Z47" s="758"/>
      <c r="AA47" s="758"/>
      <c r="AB47" s="758"/>
      <c r="AC47" s="758"/>
    </row>
    <row r="48" spans="1:29" ht="15.75" thickBot="1">
      <c r="A48" s="485" t="s">
        <v>2559</v>
      </c>
      <c r="B48" s="486"/>
      <c r="C48" s="1415" t="e">
        <f>R49</f>
        <v>#DIV/0!</v>
      </c>
      <c r="D48" s="1416"/>
      <c r="E48" s="1417" t="e">
        <f>R48</f>
        <v>#DIV/0!</v>
      </c>
      <c r="F48" s="1417"/>
      <c r="G48" s="1415" t="e">
        <f>T48</f>
        <v>#DIV/0!</v>
      </c>
      <c r="H48" s="1416"/>
      <c r="I48" s="1417" t="e">
        <f>V48</f>
        <v>#DIV/0!</v>
      </c>
      <c r="J48" s="1416"/>
      <c r="K48" s="2621"/>
      <c r="L48" s="1145"/>
      <c r="M48" s="1146"/>
      <c r="N48" s="1146"/>
      <c r="O48" s="1146"/>
      <c r="P48" s="3334" t="str">
        <f>A48</f>
        <v>比较价值（元/平方米）</v>
      </c>
      <c r="Q48" s="3334"/>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58"/>
      <c r="Y48" s="758"/>
      <c r="Z48" s="758"/>
      <c r="AA48" s="758"/>
      <c r="AB48" s="758"/>
      <c r="AC48" s="758"/>
    </row>
    <row r="49" spans="1:29" ht="15.75" thickBot="1">
      <c r="A49" s="491" t="s">
        <v>2560</v>
      </c>
      <c r="B49" s="492"/>
      <c r="C49" s="1418" t="e">
        <f>R49</f>
        <v>#DIV/0!</v>
      </c>
      <c r="D49" s="1419"/>
      <c r="E49" s="1419"/>
      <c r="F49" s="1419"/>
      <c r="G49" s="1419"/>
      <c r="H49" s="1419"/>
      <c r="I49" s="1419"/>
      <c r="J49" s="1419"/>
      <c r="K49" s="2622"/>
      <c r="L49" s="1145"/>
      <c r="M49" s="1146"/>
      <c r="N49" s="1146"/>
      <c r="O49" s="1146"/>
      <c r="P49" s="3328" t="str">
        <f>A49</f>
        <v>估价对象XX用房的比较价值（楼面单价，元/平方米）</v>
      </c>
      <c r="Q49" s="3329"/>
      <c r="R49" s="3397" t="e">
        <f>IF(F1="售价",ROUND(AVERAGE(R48:V48),0),ROUND(AVERAGE(R48:V48),1))</f>
        <v>#DIV/0!</v>
      </c>
      <c r="S49" s="3397"/>
      <c r="T49" s="3397"/>
      <c r="U49" s="3397"/>
      <c r="V49" s="3397"/>
      <c r="W49" s="339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2564</v>
      </c>
      <c r="B57" s="758"/>
      <c r="C57" s="763"/>
      <c r="D57" s="763"/>
      <c r="E57" s="763"/>
      <c r="F57" s="764"/>
      <c r="G57" s="764"/>
      <c r="H57" s="763"/>
      <c r="I57" s="763"/>
      <c r="J57" s="763"/>
      <c r="K57" s="1162"/>
      <c r="L57" s="1163"/>
      <c r="M57" s="1161"/>
      <c r="N57" s="1161"/>
      <c r="O57" s="1161"/>
      <c r="P57" s="2625"/>
      <c r="Q57" s="503"/>
    </row>
    <row r="58" spans="1:29" s="507" customFormat="1" ht="15">
      <c r="A58" s="504" t="s">
        <v>2565</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ht="15">
      <c r="A59" s="508"/>
      <c r="B59" s="2626"/>
      <c r="C59" s="1574">
        <v>100</v>
      </c>
      <c r="D59" s="510"/>
      <c r="E59" s="511"/>
      <c r="F59" s="511"/>
      <c r="G59" s="511"/>
      <c r="H59" s="511"/>
      <c r="I59" s="511"/>
      <c r="J59" s="511"/>
      <c r="K59" s="511"/>
      <c r="L59" s="511"/>
      <c r="M59" s="512"/>
      <c r="N59" s="511"/>
      <c r="O59" s="512"/>
      <c r="P59" s="2627"/>
    </row>
    <row r="60" spans="1:29" s="116" customFormat="1" ht="15.75" thickBot="1">
      <c r="A60" s="514" t="s">
        <v>2566</v>
      </c>
      <c r="B60" s="515"/>
      <c r="C60" s="516"/>
      <c r="D60" s="517"/>
      <c r="E60" s="517"/>
      <c r="F60" s="517"/>
      <c r="G60" s="517"/>
      <c r="H60" s="517"/>
      <c r="I60" s="517"/>
      <c r="J60" s="517"/>
      <c r="K60" s="517"/>
      <c r="L60" s="517"/>
      <c r="M60" s="518"/>
      <c r="N60" s="517"/>
      <c r="O60" s="518"/>
      <c r="P60" s="2627"/>
      <c r="Q60" s="503"/>
    </row>
    <row r="61" spans="1:29" s="116" customFormat="1" ht="15">
      <c r="A61" s="520" t="s">
        <v>2567</v>
      </c>
      <c r="B61" s="509"/>
      <c r="C61" s="521" t="s">
        <v>2568</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2569</v>
      </c>
      <c r="B63" s="527" t="s">
        <v>2535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4"/>
      <c r="O65" s="1154"/>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9"/>
      <c r="Q66" s="503"/>
    </row>
    <row r="67" spans="1:17" ht="15.75" thickTop="1">
      <c r="A67" s="533"/>
      <c r="B67" s="545" t="s">
        <v>2539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2083</v>
      </c>
      <c r="C82" s="538" t="s">
        <v>2585</v>
      </c>
      <c r="D82" s="538" t="s">
        <v>2586</v>
      </c>
      <c r="E82" s="538" t="s">
        <v>2587</v>
      </c>
      <c r="F82" s="538" t="s">
        <v>2588</v>
      </c>
      <c r="G82" s="538" t="s">
        <v>2589</v>
      </c>
      <c r="H82" s="538"/>
      <c r="I82" s="538"/>
      <c r="J82" s="538"/>
      <c r="K82" s="538"/>
      <c r="L82" s="538"/>
      <c r="M82" s="1384"/>
      <c r="N82" s="1155"/>
      <c r="O82" s="1155"/>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9"/>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2591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9"/>
      <c r="Q87" s="503"/>
    </row>
    <row r="88" spans="1:17" s="116" customFormat="1" ht="15.75" thickTop="1">
      <c r="A88" s="578"/>
      <c r="B88" s="537" t="s">
        <v>2592</v>
      </c>
      <c r="C88" s="553"/>
      <c r="D88" s="553"/>
      <c r="E88" s="553"/>
      <c r="F88" s="2634"/>
      <c r="G88" s="553"/>
      <c r="H88" s="553"/>
      <c r="I88" s="553"/>
      <c r="J88" s="553"/>
      <c r="K88" s="553"/>
      <c r="L88" s="553"/>
      <c r="M88" s="580"/>
      <c r="N88" s="1153"/>
      <c r="O88" s="1153"/>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2544</v>
      </c>
      <c r="B100" s="527" t="s">
        <v>2593</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9"/>
      <c r="Q101" s="503"/>
    </row>
    <row r="102" spans="1:17" ht="15.75" thickTop="1">
      <c r="A102" s="533"/>
      <c r="B102" s="537" t="s">
        <v>2594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2595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9"/>
      <c r="Q106" s="503"/>
    </row>
    <row r="107" spans="1:17" ht="15" thickTop="1">
      <c r="A107" s="598"/>
      <c r="B107" s="537" t="s">
        <v>2596</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9"/>
      <c r="Q108" s="503"/>
    </row>
    <row r="109" spans="1:17" ht="15" thickTop="1">
      <c r="A109" s="598"/>
      <c r="B109" s="537" t="s">
        <v>2597</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9"/>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2598</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9"/>
      <c r="Q115" s="503"/>
    </row>
    <row r="116" spans="1:17" ht="15" thickTop="1">
      <c r="A116" s="598"/>
      <c r="B116" s="537" t="s">
        <v>2599</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2600</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9"/>
      <c r="Q119" s="503"/>
    </row>
    <row r="120" spans="1:17" s="470" customFormat="1" ht="28.5" thickTop="1">
      <c r="A120" s="592"/>
      <c r="B120" s="537" t="s">
        <v>2555</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2601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9"/>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2603</v>
      </c>
    </row>
    <row r="137" spans="1:17" ht="15">
      <c r="B137" s="2637" t="s">
        <v>2604</v>
      </c>
      <c r="C137" s="2638"/>
      <c r="D137" s="2638"/>
      <c r="E137" s="2638"/>
      <c r="F137" s="2638"/>
      <c r="G137" s="2639"/>
      <c r="H137" s="2640"/>
      <c r="I137" s="2641" t="s">
        <v>2605</v>
      </c>
      <c r="J137" s="2638"/>
      <c r="K137" s="2642"/>
    </row>
    <row r="138" spans="1:17" ht="15">
      <c r="B138" s="2643"/>
      <c r="C138" s="145" t="s">
        <v>2606</v>
      </c>
      <c r="D138" s="145" t="s">
        <v>2607</v>
      </c>
      <c r="E138" s="2644" t="s">
        <v>2608</v>
      </c>
      <c r="F138" s="2645" t="s">
        <v>2609</v>
      </c>
      <c r="G138" s="145" t="s">
        <v>2607</v>
      </c>
      <c r="H138" s="146" t="s">
        <v>2608</v>
      </c>
      <c r="I138" s="2646"/>
      <c r="J138" s="145" t="s">
        <v>2610</v>
      </c>
      <c r="K138" s="146" t="s">
        <v>2611</v>
      </c>
    </row>
    <row r="139" spans="1:17" ht="15">
      <c r="B139" s="1086">
        <v>6</v>
      </c>
      <c r="C139" s="1087">
        <v>96</v>
      </c>
      <c r="D139" s="2647" t="s">
        <v>2612</v>
      </c>
      <c r="E139" s="1088">
        <v>100</v>
      </c>
      <c r="F139" s="1089">
        <v>102.5</v>
      </c>
      <c r="G139" s="2647" t="s">
        <v>2612</v>
      </c>
      <c r="H139" s="1090">
        <v>105</v>
      </c>
      <c r="I139" s="2648" t="s">
        <v>2613</v>
      </c>
      <c r="J139" s="1087">
        <v>20</v>
      </c>
      <c r="K139" s="1091">
        <f>C145/(J139-2)</f>
        <v>4.0555555555555553E-3</v>
      </c>
    </row>
    <row r="140" spans="1:17" ht="15">
      <c r="B140" s="1092">
        <v>5</v>
      </c>
      <c r="C140" s="1093">
        <v>100</v>
      </c>
      <c r="D140" s="1093"/>
      <c r="E140" s="1094"/>
      <c r="F140" s="1095">
        <v>102</v>
      </c>
      <c r="G140" s="1093"/>
      <c r="H140" s="1096"/>
      <c r="I140" s="2649" t="s">
        <v>2614</v>
      </c>
      <c r="J140" s="314">
        <f>ROUNDUP((J139-1)/2,0)</f>
        <v>10</v>
      </c>
      <c r="K140" s="1097">
        <v>100</v>
      </c>
    </row>
    <row r="141" spans="1:17" ht="15">
      <c r="B141" s="1092">
        <v>4</v>
      </c>
      <c r="C141" s="1093">
        <v>102</v>
      </c>
      <c r="D141" s="1093"/>
      <c r="E141" s="1094"/>
      <c r="F141" s="1095">
        <v>101.5</v>
      </c>
      <c r="G141" s="1093"/>
      <c r="H141" s="1096"/>
      <c r="I141" s="2649" t="s">
        <v>2615</v>
      </c>
      <c r="J141" s="314">
        <v>1</v>
      </c>
      <c r="K141" s="1098">
        <f>ROUND(100+(J141-J140)*K139*100,1)</f>
        <v>96.4</v>
      </c>
    </row>
    <row r="142" spans="1:17" ht="15">
      <c r="B142" s="1092">
        <v>3</v>
      </c>
      <c r="C142" s="1093">
        <v>103</v>
      </c>
      <c r="D142" s="1093"/>
      <c r="E142" s="1094"/>
      <c r="F142" s="1095">
        <v>101</v>
      </c>
      <c r="G142" s="1093"/>
      <c r="H142" s="1096"/>
      <c r="I142" s="2649" t="s">
        <v>2616</v>
      </c>
      <c r="J142" s="314">
        <f>J139</f>
        <v>20</v>
      </c>
      <c r="K142" s="1099">
        <v>95</v>
      </c>
    </row>
    <row r="143" spans="1:17" ht="15">
      <c r="B143" s="1092">
        <v>2</v>
      </c>
      <c r="C143" s="1093">
        <v>100</v>
      </c>
      <c r="D143" s="1093"/>
      <c r="E143" s="1094"/>
      <c r="F143" s="1095">
        <v>100.5</v>
      </c>
      <c r="G143" s="1093"/>
      <c r="H143" s="1096"/>
      <c r="I143" s="2649" t="s">
        <v>2617</v>
      </c>
      <c r="J143" s="1093">
        <v>15</v>
      </c>
      <c r="K143" s="1098">
        <f>ROUND(100+(J143-J140)*K139*100,1)</f>
        <v>102</v>
      </c>
    </row>
    <row r="144" spans="1:17" ht="15">
      <c r="B144" s="1092">
        <v>1</v>
      </c>
      <c r="C144" s="1093">
        <v>98</v>
      </c>
      <c r="D144" s="2650" t="s">
        <v>2618</v>
      </c>
      <c r="E144" s="1094">
        <v>102</v>
      </c>
      <c r="F144" s="1100">
        <v>100</v>
      </c>
      <c r="G144" s="2650" t="s">
        <v>2618</v>
      </c>
      <c r="H144" s="1096">
        <v>105</v>
      </c>
      <c r="I144" s="2649" t="s">
        <v>2617</v>
      </c>
      <c r="J144" s="1093">
        <v>18</v>
      </c>
      <c r="K144" s="1098">
        <f>ROUND(100+(J144-J140)*K139*100,1)</f>
        <v>103.2</v>
      </c>
    </row>
    <row r="145" spans="2:11" ht="15.75" thickBot="1">
      <c r="B145" s="2651" t="s">
        <v>2619</v>
      </c>
      <c r="C145" s="1101">
        <f>ROUND(MAX(C139:C144)/MIN(C139:C144)-1,3)</f>
        <v>7.2999999999999995E-2</v>
      </c>
      <c r="D145" s="1102"/>
      <c r="E145" s="1102"/>
      <c r="F145" s="2652" t="s">
        <v>2620</v>
      </c>
      <c r="G145" s="2653"/>
      <c r="H145" s="2654"/>
      <c r="I145" s="2655" t="s">
        <v>2617</v>
      </c>
      <c r="J145" s="1103">
        <v>8</v>
      </c>
      <c r="K145" s="1104">
        <f>ROUND(100+(J145-J140)*K139*100,1)</f>
        <v>99.2</v>
      </c>
    </row>
    <row r="147" spans="2:11">
      <c r="B147" s="2636" t="s">
        <v>2621</v>
      </c>
    </row>
    <row r="148" spans="2:11">
      <c r="B148" s="2636"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2509</v>
      </c>
      <c r="B1" s="2581" t="s">
        <v>2623</v>
      </c>
      <c r="C1" s="1635" t="s">
        <v>2511</v>
      </c>
      <c r="D1" s="1622"/>
      <c r="E1" s="2656"/>
      <c r="F1" s="2583"/>
      <c r="G1" s="1632" t="s">
        <v>2624</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7" customFormat="1" ht="28.5" customHeight="1" thickTop="1">
      <c r="A2" s="1618" t="s">
        <v>2311</v>
      </c>
      <c r="B2" s="1420" t="e">
        <f ca="1">IF(C2="——",ROUND(C49*D3/10000,0),ROUND(C49*D3/10000,0)-D2)</f>
        <v>#DIV/0!</v>
      </c>
      <c r="C2" s="2585"/>
      <c r="D2" s="1367" t="e">
        <f ca="1">SUMIF(INDIRECT("'"&amp;F2&amp;"'"&amp;"!A:A"),"承租人权益价值",INDIRECT("'"&amp;F2&amp;"'"&amp;"!c:c"))</f>
        <v>#REF!</v>
      </c>
      <c r="E2" s="2586" t="s">
        <v>2312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2313</v>
      </c>
      <c r="B3" s="608" t="e">
        <f ca="1">IF(C2="——",C49,ROUND(B2*10000/D3,0))</f>
        <v>#DIV/0!</v>
      </c>
      <c r="C3" s="399" t="s">
        <v>2625</v>
      </c>
      <c r="D3" s="398">
        <f>IF(D1="",'数据-汇总表'!E3,SUMIF('数据-汇总表'!$C19:$C33,D1,'数据-汇总表'!$E19:$E33))</f>
        <v>219161.38</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0" t="s">
        <v>2629</v>
      </c>
      <c r="AC4" s="3341" t="s">
        <v>2630</v>
      </c>
    </row>
    <row r="5" spans="1:29" ht="15">
      <c r="A5" s="403"/>
      <c r="B5" s="404"/>
      <c r="C5" s="3407" t="s">
        <v>2523</v>
      </c>
      <c r="D5" s="3408"/>
      <c r="E5" s="3411" t="s">
        <v>2524</v>
      </c>
      <c r="F5" s="3412"/>
      <c r="G5" s="3407" t="s">
        <v>2525</v>
      </c>
      <c r="H5" s="3408"/>
      <c r="I5" s="3407" t="s">
        <v>2526</v>
      </c>
      <c r="J5" s="3408"/>
      <c r="K5" s="609"/>
      <c r="L5" s="1132"/>
      <c r="M5" s="1133"/>
      <c r="N5" s="1133"/>
      <c r="O5" s="1133"/>
      <c r="P5" s="3349"/>
      <c r="Q5" s="3350"/>
      <c r="R5" s="3355"/>
      <c r="S5" s="3356"/>
      <c r="T5" s="3355"/>
      <c r="U5" s="3356"/>
      <c r="V5" s="3340"/>
      <c r="W5" s="3340"/>
      <c r="X5" s="1814"/>
      <c r="Y5" s="3355"/>
      <c r="Z5" s="3356"/>
      <c r="AA5" s="3342"/>
      <c r="AB5" s="3340"/>
      <c r="AC5" s="3342"/>
    </row>
    <row r="6" spans="1:29" ht="15.75" thickBot="1">
      <c r="A6" s="405"/>
      <c r="B6" s="406"/>
      <c r="C6" s="3405" t="s">
        <v>2527</v>
      </c>
      <c r="D6" s="3406"/>
      <c r="E6" s="3409" t="s">
        <v>2527</v>
      </c>
      <c r="F6" s="3410"/>
      <c r="G6" s="3405" t="s">
        <v>2527</v>
      </c>
      <c r="H6" s="3406"/>
      <c r="I6" s="3405" t="s">
        <v>2527</v>
      </c>
      <c r="J6" s="3406"/>
      <c r="K6" s="609" t="s">
        <v>2528</v>
      </c>
      <c r="L6" s="1132"/>
      <c r="M6" s="1133"/>
      <c r="N6" s="1133"/>
      <c r="O6" s="1133"/>
      <c r="P6" s="3351"/>
      <c r="Q6" s="3352"/>
      <c r="R6" s="3355"/>
      <c r="S6" s="3356"/>
      <c r="T6" s="3357"/>
      <c r="U6" s="3358"/>
      <c r="V6" s="3340"/>
      <c r="W6" s="3340"/>
      <c r="X6" s="1814"/>
      <c r="Y6" s="3357"/>
      <c r="Z6" s="3358"/>
      <c r="AA6" s="3343"/>
      <c r="AB6" s="3340"/>
      <c r="AC6" s="3343"/>
    </row>
    <row r="7" spans="1:29" s="116" customFormat="1" ht="15.75" thickBot="1">
      <c r="A7" s="407" t="s">
        <v>2529</v>
      </c>
      <c r="B7" s="408"/>
      <c r="C7" s="409">
        <f>'数据-取费表'!B2</f>
        <v>43444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63" t="s">
        <v>2530</v>
      </c>
      <c r="Q7" s="3365"/>
      <c r="R7" s="769" t="s">
        <v>17</v>
      </c>
      <c r="S7" s="770">
        <f t="shared" ref="S7:S15" si="0">F7</f>
        <v>0</v>
      </c>
      <c r="T7" s="769" t="s">
        <v>17</v>
      </c>
      <c r="U7" s="770">
        <f t="shared" ref="U7:U15" si="1">H7</f>
        <v>0</v>
      </c>
      <c r="V7" s="769" t="s">
        <v>17</v>
      </c>
      <c r="W7" s="770">
        <f t="shared" ref="W7:W15" si="2">J7</f>
        <v>0</v>
      </c>
      <c r="X7" s="771"/>
      <c r="Y7" s="3363" t="s">
        <v>2530</v>
      </c>
      <c r="Z7" s="3364"/>
      <c r="AA7" s="772" t="e">
        <f>D7/F7</f>
        <v>#DIV/0!</v>
      </c>
      <c r="AB7" s="772" t="e">
        <f>D7/H7</f>
        <v>#DIV/0!</v>
      </c>
      <c r="AC7" s="772" t="e">
        <f>D7/J7</f>
        <v>#DIV/0!</v>
      </c>
    </row>
    <row r="8" spans="1:29" s="116" customFormat="1" ht="15.75" thickBot="1">
      <c r="A8" s="407" t="s">
        <v>2531</v>
      </c>
      <c r="B8" s="408"/>
      <c r="C8" s="413" t="s">
        <v>2633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63" t="s">
        <v>2533</v>
      </c>
      <c r="Q8" s="3364"/>
      <c r="R8" s="769" t="s">
        <v>17</v>
      </c>
      <c r="S8" s="770">
        <f t="shared" si="0"/>
        <v>0</v>
      </c>
      <c r="T8" s="769" t="s">
        <v>17</v>
      </c>
      <c r="U8" s="770">
        <f t="shared" si="1"/>
        <v>0</v>
      </c>
      <c r="V8" s="769" t="s">
        <v>17</v>
      </c>
      <c r="W8" s="770">
        <f t="shared" si="2"/>
        <v>0</v>
      </c>
      <c r="X8" s="771"/>
      <c r="Y8" s="3363" t="s">
        <v>2533</v>
      </c>
      <c r="Z8" s="3364"/>
      <c r="AA8" s="772" t="e">
        <f t="shared" ref="AA8:AA46" si="3">D8/F8</f>
        <v>#DIV/0!</v>
      </c>
      <c r="AB8" s="772" t="e">
        <f t="shared" ref="AB8:AB46" si="4">D8/H8</f>
        <v>#DIV/0!</v>
      </c>
      <c r="AC8" s="772" t="e">
        <f t="shared" ref="AC8:AC46" si="5">D8/J8</f>
        <v>#DIV/0!</v>
      </c>
    </row>
    <row r="9" spans="1:29" s="116" customFormat="1">
      <c r="A9" s="414" t="s">
        <v>2534</v>
      </c>
      <c r="B9" s="70" t="s">
        <v>2535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33"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772">
        <f t="shared" si="5"/>
        <v>1</v>
      </c>
    </row>
    <row r="10" spans="1:29" s="426" customFormat="1" ht="27">
      <c r="A10" s="420"/>
      <c r="B10" s="421" t="s">
        <v>2538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33"/>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772">
        <f t="shared" si="5"/>
        <v>1</v>
      </c>
    </row>
    <row r="11" spans="1:29" ht="15">
      <c r="A11" s="427"/>
      <c r="B11" s="421" t="s">
        <v>2539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33"/>
      <c r="Q11" s="1796" t="str">
        <f t="shared" si="6"/>
        <v>容积率</v>
      </c>
      <c r="R11" s="769" t="s">
        <v>17</v>
      </c>
      <c r="S11" s="770" t="e">
        <f t="shared" si="0"/>
        <v>#N/A</v>
      </c>
      <c r="T11" s="769" t="s">
        <v>17</v>
      </c>
      <c r="U11" s="770" t="e">
        <f t="shared" si="1"/>
        <v>#N/A</v>
      </c>
      <c r="V11" s="769" t="s">
        <v>17</v>
      </c>
      <c r="W11" s="770" t="e">
        <f t="shared" si="2"/>
        <v>#N/A</v>
      </c>
      <c r="X11" s="771"/>
      <c r="Y11" s="3128"/>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33"/>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33"/>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33"/>
      <c r="Q14" s="1796">
        <f t="shared" si="6"/>
        <v>111</v>
      </c>
      <c r="R14" s="769" t="s">
        <v>17</v>
      </c>
      <c r="S14" s="770">
        <f t="shared" si="0"/>
        <v>100</v>
      </c>
      <c r="T14" s="769" t="s">
        <v>17</v>
      </c>
      <c r="U14" s="770">
        <f t="shared" si="1"/>
        <v>100</v>
      </c>
      <c r="V14" s="769" t="s">
        <v>17</v>
      </c>
      <c r="W14" s="770">
        <f t="shared" si="2"/>
        <v>100</v>
      </c>
      <c r="X14" s="771"/>
      <c r="Y14" s="3128"/>
      <c r="Z14" s="55">
        <f t="shared" si="7"/>
        <v>111</v>
      </c>
      <c r="AA14" s="772">
        <f t="shared" si="3"/>
        <v>1</v>
      </c>
      <c r="AB14" s="772">
        <f t="shared" si="4"/>
        <v>1</v>
      </c>
      <c r="AC14" s="772">
        <f t="shared" si="5"/>
        <v>1</v>
      </c>
    </row>
    <row r="15" spans="1:29" ht="15">
      <c r="A15" s="439" t="s">
        <v>2540</v>
      </c>
      <c r="B15" s="68" t="s">
        <v>2634</v>
      </c>
      <c r="C15" s="2602" t="str">
        <f>估价对象房地状况!C4</f>
        <v>较差</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403" t="s">
        <v>2541</v>
      </c>
      <c r="Q15" s="1811" t="str">
        <f t="shared" si="6"/>
        <v>商业繁华度</v>
      </c>
      <c r="R15" s="773" t="s">
        <v>17</v>
      </c>
      <c r="S15" s="774">
        <f t="shared" si="0"/>
        <v>100</v>
      </c>
      <c r="T15" s="773" t="s">
        <v>17</v>
      </c>
      <c r="U15" s="774">
        <f t="shared" si="1"/>
        <v>100</v>
      </c>
      <c r="V15" s="773" t="s">
        <v>17</v>
      </c>
      <c r="W15" s="774">
        <f t="shared" si="2"/>
        <v>100</v>
      </c>
      <c r="X15" s="1814"/>
      <c r="Y15" s="3336" t="s">
        <v>2541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404"/>
      <c r="Q16" s="1811"/>
      <c r="R16" s="773"/>
      <c r="S16" s="774"/>
      <c r="T16" s="773"/>
      <c r="U16" s="774"/>
      <c r="V16" s="773"/>
      <c r="W16" s="774"/>
      <c r="X16" s="1814"/>
      <c r="Y16" s="3337"/>
      <c r="Z16" s="1815"/>
      <c r="AA16" s="1812">
        <v>1</v>
      </c>
      <c r="AB16" s="1812">
        <v>1</v>
      </c>
      <c r="AC16" s="1812">
        <v>1</v>
      </c>
    </row>
    <row r="17" spans="1:29" ht="15">
      <c r="A17" s="427"/>
      <c r="B17" s="450" t="s">
        <v>2082</v>
      </c>
      <c r="C17" s="2606" t="str">
        <f>估价对象房地状况!C6</f>
        <v>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404"/>
      <c r="Q17" s="1811" t="str">
        <f>B17</f>
        <v>交通便捷度</v>
      </c>
      <c r="R17" s="773" t="s">
        <v>17</v>
      </c>
      <c r="S17" s="774">
        <f>F17</f>
        <v>100</v>
      </c>
      <c r="T17" s="773" t="s">
        <v>17</v>
      </c>
      <c r="U17" s="774">
        <f>H17</f>
        <v>100</v>
      </c>
      <c r="V17" s="773" t="s">
        <v>17</v>
      </c>
      <c r="W17" s="774">
        <f>J17</f>
        <v>100</v>
      </c>
      <c r="X17" s="1814"/>
      <c r="Y17" s="3337"/>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33"/>
      <c r="P18" s="3404"/>
      <c r="Q18" s="1811"/>
      <c r="R18" s="773"/>
      <c r="S18" s="774"/>
      <c r="T18" s="773"/>
      <c r="U18" s="774"/>
      <c r="V18" s="773"/>
      <c r="W18" s="774"/>
      <c r="X18" s="1814"/>
      <c r="Y18" s="3337"/>
      <c r="Z18" s="1815"/>
      <c r="AA18" s="1812">
        <v>1</v>
      </c>
      <c r="AB18" s="1812">
        <v>1</v>
      </c>
      <c r="AC18" s="1812">
        <v>1</v>
      </c>
    </row>
    <row r="19" spans="1:29" ht="15">
      <c r="A19" s="427"/>
      <c r="B19" s="450" t="s">
        <v>2635</v>
      </c>
      <c r="C19" s="2606" t="str">
        <f>估价对象房地状况!C7</f>
        <v>一般</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404"/>
      <c r="Q19" s="1811" t="str">
        <f>B19</f>
        <v>公共配套设施</v>
      </c>
      <c r="R19" s="773" t="s">
        <v>17</v>
      </c>
      <c r="S19" s="774">
        <f>F19</f>
        <v>100</v>
      </c>
      <c r="T19" s="773" t="s">
        <v>17</v>
      </c>
      <c r="U19" s="774">
        <f>H19</f>
        <v>100</v>
      </c>
      <c r="V19" s="773" t="s">
        <v>17</v>
      </c>
      <c r="W19" s="774">
        <f>J19</f>
        <v>100</v>
      </c>
      <c r="X19" s="1814"/>
      <c r="Y19" s="3337"/>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33"/>
      <c r="P20" s="3404"/>
      <c r="Q20" s="1811"/>
      <c r="R20" s="773"/>
      <c r="S20" s="774"/>
      <c r="T20" s="773"/>
      <c r="U20" s="774"/>
      <c r="V20" s="773"/>
      <c r="W20" s="774"/>
      <c r="X20" s="1814"/>
      <c r="Y20" s="3337"/>
      <c r="Z20" s="1815"/>
      <c r="AA20" s="1812">
        <v>1</v>
      </c>
      <c r="AB20" s="1812">
        <v>1</v>
      </c>
      <c r="AC20" s="1812">
        <v>1</v>
      </c>
    </row>
    <row r="21" spans="1:29" ht="15">
      <c r="A21" s="427"/>
      <c r="B21" s="1386" t="s">
        <v>2636</v>
      </c>
      <c r="C21" s="260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404"/>
      <c r="Q21" s="1811" t="str">
        <f>B21</f>
        <v>基础设施水平</v>
      </c>
      <c r="R21" s="773" t="s">
        <v>17</v>
      </c>
      <c r="S21" s="774">
        <f>F21</f>
        <v>100</v>
      </c>
      <c r="T21" s="773" t="s">
        <v>17</v>
      </c>
      <c r="U21" s="774">
        <f>H21</f>
        <v>100</v>
      </c>
      <c r="V21" s="773" t="s">
        <v>17</v>
      </c>
      <c r="W21" s="774">
        <f>J21</f>
        <v>100</v>
      </c>
      <c r="X21" s="1814"/>
      <c r="Y21" s="3337"/>
      <c r="Z21" s="1815" t="str">
        <f>Q21</f>
        <v>基础设施水平</v>
      </c>
      <c r="AA21" s="1812">
        <f t="shared" ref="AA21" si="8">D21/F21</f>
        <v>1</v>
      </c>
      <c r="AB21" s="1812">
        <f t="shared" ref="AB21" si="9">D21/H21</f>
        <v>1</v>
      </c>
      <c r="AC21" s="1812">
        <f t="shared" ref="AC21" si="10">D21/J21</f>
        <v>1</v>
      </c>
    </row>
    <row r="22" spans="1:29" ht="15">
      <c r="A22" s="427"/>
      <c r="B22" s="1386"/>
      <c r="C22" s="2607"/>
      <c r="D22" s="447"/>
      <c r="E22" s="446"/>
      <c r="F22" s="448"/>
      <c r="G22" s="446"/>
      <c r="H22" s="447"/>
      <c r="I22" s="446"/>
      <c r="J22" s="447"/>
      <c r="K22" s="1385"/>
      <c r="L22" s="1142"/>
      <c r="M22" s="1133"/>
      <c r="N22" s="1133"/>
      <c r="O22" s="1133"/>
      <c r="P22" s="3404"/>
      <c r="Q22" s="1811"/>
      <c r="R22" s="773"/>
      <c r="S22" s="774"/>
      <c r="T22" s="773"/>
      <c r="U22" s="774"/>
      <c r="V22" s="773"/>
      <c r="W22" s="774"/>
      <c r="X22" s="1814"/>
      <c r="Y22" s="3337"/>
      <c r="Z22" s="1815"/>
      <c r="AA22" s="1812">
        <v>1</v>
      </c>
      <c r="AB22" s="1812">
        <v>1</v>
      </c>
      <c r="AC22" s="1812">
        <v>1</v>
      </c>
    </row>
    <row r="23" spans="1:29" ht="15">
      <c r="A23" s="427"/>
      <c r="B23" s="450" t="s">
        <v>2085</v>
      </c>
      <c r="C23" s="2663" t="str">
        <f>估价对象房地状况!C9</f>
        <v>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404"/>
      <c r="Q23" s="1811" t="str">
        <f>B23</f>
        <v>自然及人文环境</v>
      </c>
      <c r="R23" s="773" t="s">
        <v>17</v>
      </c>
      <c r="S23" s="774">
        <f>F23</f>
        <v>100</v>
      </c>
      <c r="T23" s="773" t="s">
        <v>17</v>
      </c>
      <c r="U23" s="774">
        <f>H23</f>
        <v>100</v>
      </c>
      <c r="V23" s="773" t="s">
        <v>17</v>
      </c>
      <c r="W23" s="774">
        <f>J23</f>
        <v>100</v>
      </c>
      <c r="X23" s="1814"/>
      <c r="Y23" s="3337"/>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2"/>
      <c r="M24" s="1133"/>
      <c r="N24" s="1133"/>
      <c r="O24" s="1133"/>
      <c r="P24" s="3404"/>
      <c r="Q24" s="1811"/>
      <c r="R24" s="773"/>
      <c r="S24" s="774"/>
      <c r="T24" s="773"/>
      <c r="U24" s="774"/>
      <c r="V24" s="773"/>
      <c r="W24" s="774"/>
      <c r="X24" s="1814"/>
      <c r="Y24" s="3337"/>
      <c r="Z24" s="1815"/>
      <c r="AA24" s="1812">
        <v>1</v>
      </c>
      <c r="AB24" s="1812">
        <v>1</v>
      </c>
      <c r="AC24" s="1812">
        <v>1</v>
      </c>
    </row>
    <row r="25" spans="1:29" ht="15">
      <c r="A25" s="427"/>
      <c r="B25" s="421" t="s">
        <v>2637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404"/>
      <c r="Q25" s="1811" t="str">
        <f t="shared" ref="Q25:Q46" si="11">B25</f>
        <v>临街状况</v>
      </c>
      <c r="R25" s="773" t="s">
        <v>17</v>
      </c>
      <c r="S25" s="774">
        <f>F25</f>
        <v>100</v>
      </c>
      <c r="T25" s="773" t="s">
        <v>17</v>
      </c>
      <c r="U25" s="774">
        <f>H25</f>
        <v>100</v>
      </c>
      <c r="V25" s="773" t="s">
        <v>17</v>
      </c>
      <c r="W25" s="774">
        <f>J25</f>
        <v>100</v>
      </c>
      <c r="X25" s="1814"/>
      <c r="Y25" s="3337"/>
      <c r="Z25" s="1815" t="str">
        <f>Q25</f>
        <v>临街状况</v>
      </c>
      <c r="AA25" s="1812">
        <f t="shared" si="3"/>
        <v>1</v>
      </c>
      <c r="AB25" s="1812">
        <f t="shared" si="4"/>
        <v>1</v>
      </c>
      <c r="AC25" s="1812">
        <f t="shared" si="5"/>
        <v>1</v>
      </c>
    </row>
    <row r="26" spans="1:29" ht="15">
      <c r="A26" s="427"/>
      <c r="B26" s="1388" t="s">
        <v>2638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404"/>
      <c r="Q26" s="1811" t="str">
        <f t="shared" si="11"/>
        <v>平面位置/可视性</v>
      </c>
      <c r="R26" s="773" t="s">
        <v>17</v>
      </c>
      <c r="S26" s="774">
        <f>F26</f>
        <v>100</v>
      </c>
      <c r="T26" s="773" t="s">
        <v>17</v>
      </c>
      <c r="U26" s="774">
        <f>H26</f>
        <v>100</v>
      </c>
      <c r="V26" s="773" t="s">
        <v>17</v>
      </c>
      <c r="W26" s="774">
        <f>J26</f>
        <v>100</v>
      </c>
      <c r="X26" s="1814"/>
      <c r="Y26" s="3337"/>
      <c r="Z26" s="1815" t="str">
        <f>Q26</f>
        <v>平面位置/可视性</v>
      </c>
      <c r="AA26" s="1812">
        <f t="shared" si="3"/>
        <v>1</v>
      </c>
      <c r="AB26" s="1812">
        <f t="shared" si="4"/>
        <v>1</v>
      </c>
      <c r="AC26" s="1812">
        <f t="shared" si="5"/>
        <v>1</v>
      </c>
    </row>
    <row r="27" spans="1:29" s="116" customFormat="1" ht="15">
      <c r="A27" s="430"/>
      <c r="B27" s="450" t="s">
        <v>2639</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404"/>
      <c r="Q27" s="1796" t="str">
        <f t="shared" si="11"/>
        <v>人流量</v>
      </c>
      <c r="R27" s="769" t="s">
        <v>17</v>
      </c>
      <c r="S27" s="770">
        <f>F27</f>
        <v>100</v>
      </c>
      <c r="T27" s="769" t="s">
        <v>17</v>
      </c>
      <c r="U27" s="770">
        <f>H27</f>
        <v>100</v>
      </c>
      <c r="V27" s="769" t="s">
        <v>17</v>
      </c>
      <c r="W27" s="770">
        <f>J27</f>
        <v>100</v>
      </c>
      <c r="X27" s="771"/>
      <c r="Y27" s="3337"/>
      <c r="Z27" s="55" t="str">
        <f>Q27</f>
        <v>人流量</v>
      </c>
      <c r="AA27" s="1812">
        <f>D27/F27</f>
        <v>1</v>
      </c>
      <c r="AB27" s="1812">
        <f>D27/H27</f>
        <v>1</v>
      </c>
      <c r="AC27" s="1812">
        <f>D27/J27</f>
        <v>1</v>
      </c>
    </row>
    <row r="28" spans="1:29" ht="15">
      <c r="A28" s="427"/>
      <c r="B28" s="421" t="s">
        <v>2640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40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337"/>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404"/>
      <c r="Q29" s="1811">
        <f t="shared" si="11"/>
        <v>111</v>
      </c>
      <c r="R29" s="773" t="s">
        <v>17</v>
      </c>
      <c r="S29" s="774">
        <f t="shared" si="12"/>
        <v>100</v>
      </c>
      <c r="T29" s="773" t="s">
        <v>17</v>
      </c>
      <c r="U29" s="774">
        <f t="shared" si="13"/>
        <v>100</v>
      </c>
      <c r="V29" s="773" t="s">
        <v>17</v>
      </c>
      <c r="W29" s="774">
        <f t="shared" si="14"/>
        <v>100</v>
      </c>
      <c r="X29" s="1814"/>
      <c r="Y29" s="3337"/>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404"/>
      <c r="Q30" s="1811">
        <f t="shared" si="11"/>
        <v>111</v>
      </c>
      <c r="R30" s="773" t="s">
        <v>17</v>
      </c>
      <c r="S30" s="774">
        <f t="shared" si="12"/>
        <v>100</v>
      </c>
      <c r="T30" s="773" t="s">
        <v>17</v>
      </c>
      <c r="U30" s="774">
        <f t="shared" si="13"/>
        <v>100</v>
      </c>
      <c r="V30" s="773" t="s">
        <v>17</v>
      </c>
      <c r="W30" s="774">
        <f t="shared" si="14"/>
        <v>100</v>
      </c>
      <c r="X30" s="1814"/>
      <c r="Y30" s="3337"/>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404"/>
      <c r="Q31" s="1811">
        <f t="shared" si="11"/>
        <v>111</v>
      </c>
      <c r="R31" s="773" t="s">
        <v>17</v>
      </c>
      <c r="S31" s="774">
        <f t="shared" si="12"/>
        <v>100</v>
      </c>
      <c r="T31" s="773" t="s">
        <v>17</v>
      </c>
      <c r="U31" s="774">
        <f t="shared" si="13"/>
        <v>100</v>
      </c>
      <c r="V31" s="773" t="s">
        <v>17</v>
      </c>
      <c r="W31" s="774">
        <f t="shared" si="14"/>
        <v>100</v>
      </c>
      <c r="X31" s="1814"/>
      <c r="Y31" s="3337"/>
      <c r="Z31" s="1815">
        <f t="shared" si="15"/>
        <v>111</v>
      </c>
      <c r="AA31" s="1812">
        <f t="shared" si="3"/>
        <v>1</v>
      </c>
      <c r="AB31" s="1812">
        <f t="shared" si="4"/>
        <v>1</v>
      </c>
      <c r="AC31" s="1812">
        <f t="shared" si="5"/>
        <v>1</v>
      </c>
    </row>
    <row r="32" spans="1:29" ht="15">
      <c r="A32" s="439" t="s">
        <v>2544</v>
      </c>
      <c r="B32" s="70" t="s">
        <v>2641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399" t="s">
        <v>2546</v>
      </c>
      <c r="Q32" s="1811" t="str">
        <f t="shared" si="11"/>
        <v>商业类型</v>
      </c>
      <c r="R32" s="773" t="s">
        <v>17</v>
      </c>
      <c r="S32" s="774">
        <f t="shared" si="12"/>
        <v>100</v>
      </c>
      <c r="T32" s="773" t="s">
        <v>17</v>
      </c>
      <c r="U32" s="774">
        <f t="shared" si="13"/>
        <v>100</v>
      </c>
      <c r="V32" s="773" t="s">
        <v>17</v>
      </c>
      <c r="W32" s="774">
        <f t="shared" si="14"/>
        <v>100</v>
      </c>
      <c r="X32" s="1814"/>
      <c r="Y32" s="3339" t="s">
        <v>2546</v>
      </c>
      <c r="Z32" s="1815" t="str">
        <f t="shared" si="15"/>
        <v>商业类型</v>
      </c>
      <c r="AA32" s="1812">
        <f t="shared" si="3"/>
        <v>1</v>
      </c>
      <c r="AB32" s="1812">
        <f t="shared" si="4"/>
        <v>1</v>
      </c>
      <c r="AC32" s="1812">
        <f t="shared" si="5"/>
        <v>1</v>
      </c>
    </row>
    <row r="33" spans="1:29" s="470" customFormat="1" ht="15">
      <c r="A33" s="467"/>
      <c r="B33" s="421" t="s">
        <v>2547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400"/>
      <c r="Q33" s="775" t="str">
        <f t="shared" si="11"/>
        <v>项目建筑规模</v>
      </c>
      <c r="R33" s="776" t="s">
        <v>17</v>
      </c>
      <c r="S33" s="777" t="e">
        <f t="shared" si="12"/>
        <v>#N/A</v>
      </c>
      <c r="T33" s="776" t="s">
        <v>17</v>
      </c>
      <c r="U33" s="777" t="e">
        <f t="shared" si="13"/>
        <v>#N/A</v>
      </c>
      <c r="V33" s="776" t="s">
        <v>17</v>
      </c>
      <c r="W33" s="777" t="e">
        <f t="shared" si="14"/>
        <v>#N/A</v>
      </c>
      <c r="X33" s="778"/>
      <c r="Y33" s="3339"/>
      <c r="Z33" s="779" t="str">
        <f t="shared" si="15"/>
        <v>项目建筑规模</v>
      </c>
      <c r="AA33" s="1812" t="e">
        <f t="shared" si="3"/>
        <v>#N/A</v>
      </c>
      <c r="AB33" s="1812" t="e">
        <f t="shared" si="4"/>
        <v>#N/A</v>
      </c>
      <c r="AC33" s="1812" t="e">
        <f t="shared" si="5"/>
        <v>#N/A</v>
      </c>
    </row>
    <row r="34" spans="1:29" ht="15">
      <c r="A34" s="471"/>
      <c r="B34" s="421" t="s">
        <v>2548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400"/>
      <c r="Q34" s="1811" t="str">
        <f t="shared" si="11"/>
        <v>建筑结构</v>
      </c>
      <c r="R34" s="773" t="s">
        <v>17</v>
      </c>
      <c r="S34" s="774">
        <f t="shared" si="12"/>
        <v>100</v>
      </c>
      <c r="T34" s="773" t="s">
        <v>17</v>
      </c>
      <c r="U34" s="774">
        <f t="shared" si="13"/>
        <v>100</v>
      </c>
      <c r="V34" s="773" t="s">
        <v>17</v>
      </c>
      <c r="W34" s="774">
        <f t="shared" si="14"/>
        <v>100</v>
      </c>
      <c r="X34" s="1814"/>
      <c r="Y34" s="3339"/>
      <c r="Z34" s="1815" t="str">
        <f t="shared" si="15"/>
        <v>建筑结构</v>
      </c>
      <c r="AA34" s="1812">
        <f t="shared" si="3"/>
        <v>1</v>
      </c>
      <c r="AB34" s="1812">
        <f t="shared" si="4"/>
        <v>1</v>
      </c>
      <c r="AC34" s="1812">
        <f t="shared" si="5"/>
        <v>1</v>
      </c>
    </row>
    <row r="35" spans="1:29" ht="15">
      <c r="A35" s="471"/>
      <c r="B35" s="421" t="s">
        <v>2642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400"/>
      <c r="Q35" s="1811" t="str">
        <f t="shared" si="11"/>
        <v>公共部分装修</v>
      </c>
      <c r="R35" s="773" t="s">
        <v>17</v>
      </c>
      <c r="S35" s="774">
        <f t="shared" si="12"/>
        <v>100</v>
      </c>
      <c r="T35" s="773" t="s">
        <v>17</v>
      </c>
      <c r="U35" s="774">
        <f t="shared" si="13"/>
        <v>100</v>
      </c>
      <c r="V35" s="773" t="s">
        <v>17</v>
      </c>
      <c r="W35" s="774">
        <f t="shared" si="14"/>
        <v>100</v>
      </c>
      <c r="X35" s="1814"/>
      <c r="Y35" s="3339"/>
      <c r="Z35" s="1815" t="str">
        <f t="shared" si="15"/>
        <v>公共部分装修</v>
      </c>
      <c r="AA35" s="1812">
        <f t="shared" si="3"/>
        <v>1</v>
      </c>
      <c r="AB35" s="1812">
        <f t="shared" si="4"/>
        <v>1</v>
      </c>
      <c r="AC35" s="1812">
        <f t="shared" si="5"/>
        <v>1</v>
      </c>
    </row>
    <row r="36" spans="1:29" ht="15">
      <c r="A36" s="471"/>
      <c r="B36" s="421" t="s">
        <v>2643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400"/>
      <c r="Q36" s="1811" t="str">
        <f t="shared" si="11"/>
        <v>成新度</v>
      </c>
      <c r="R36" s="773" t="s">
        <v>17</v>
      </c>
      <c r="S36" s="774" t="e">
        <f t="shared" si="12"/>
        <v>#N/A</v>
      </c>
      <c r="T36" s="773" t="s">
        <v>17</v>
      </c>
      <c r="U36" s="774" t="e">
        <f t="shared" si="13"/>
        <v>#N/A</v>
      </c>
      <c r="V36" s="773" t="s">
        <v>17</v>
      </c>
      <c r="W36" s="774" t="e">
        <f t="shared" si="14"/>
        <v>#N/A</v>
      </c>
      <c r="X36" s="1814"/>
      <c r="Y36" s="3339"/>
      <c r="Z36" s="1815" t="str">
        <f t="shared" si="15"/>
        <v>成新度</v>
      </c>
      <c r="AA36" s="1812" t="e">
        <f t="shared" si="3"/>
        <v>#N/A</v>
      </c>
      <c r="AB36" s="1812" t="e">
        <f t="shared" si="4"/>
        <v>#N/A</v>
      </c>
      <c r="AC36" s="1812" t="e">
        <f t="shared" si="5"/>
        <v>#N/A</v>
      </c>
    </row>
    <row r="37" spans="1:29" s="116" customFormat="1" ht="15">
      <c r="A37" s="472"/>
      <c r="B37" s="421" t="s">
        <v>2644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400"/>
      <c r="Q37" s="1796" t="str">
        <f t="shared" si="11"/>
        <v>市政基础设施</v>
      </c>
      <c r="R37" s="769" t="s">
        <v>17</v>
      </c>
      <c r="S37" s="770">
        <f t="shared" si="12"/>
        <v>100</v>
      </c>
      <c r="T37" s="769" t="s">
        <v>17</v>
      </c>
      <c r="U37" s="770">
        <f t="shared" si="13"/>
        <v>100</v>
      </c>
      <c r="V37" s="769" t="s">
        <v>17</v>
      </c>
      <c r="W37" s="770">
        <f t="shared" si="14"/>
        <v>100</v>
      </c>
      <c r="X37" s="771"/>
      <c r="Y37" s="3339"/>
      <c r="Z37" s="55" t="str">
        <f t="shared" si="15"/>
        <v>市政基础设施</v>
      </c>
      <c r="AA37" s="772">
        <f t="shared" si="3"/>
        <v>1</v>
      </c>
      <c r="AB37" s="772">
        <f t="shared" si="4"/>
        <v>1</v>
      </c>
      <c r="AC37" s="772">
        <f t="shared" si="5"/>
        <v>1</v>
      </c>
    </row>
    <row r="38" spans="1:29" ht="15">
      <c r="A38" s="471"/>
      <c r="B38" s="421" t="s">
        <v>2645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400" t="s">
        <v>2546</v>
      </c>
      <c r="Q38" s="1811" t="str">
        <f t="shared" si="11"/>
        <v>业态</v>
      </c>
      <c r="R38" s="773" t="s">
        <v>17</v>
      </c>
      <c r="S38" s="774">
        <f t="shared" si="12"/>
        <v>100</v>
      </c>
      <c r="T38" s="773" t="s">
        <v>17</v>
      </c>
      <c r="U38" s="774">
        <f t="shared" si="13"/>
        <v>100</v>
      </c>
      <c r="V38" s="773" t="s">
        <v>17</v>
      </c>
      <c r="W38" s="774">
        <f t="shared" si="14"/>
        <v>100</v>
      </c>
      <c r="X38" s="1814"/>
      <c r="Y38" s="3339" t="s">
        <v>2546</v>
      </c>
      <c r="Z38" s="1815" t="str">
        <f t="shared" si="15"/>
        <v>业态</v>
      </c>
      <c r="AA38" s="1812">
        <f t="shared" si="3"/>
        <v>1</v>
      </c>
      <c r="AB38" s="1812">
        <f t="shared" si="4"/>
        <v>1</v>
      </c>
      <c r="AC38" s="1812">
        <f t="shared" si="5"/>
        <v>1</v>
      </c>
    </row>
    <row r="39" spans="1:29" ht="15">
      <c r="A39" s="471"/>
      <c r="B39" s="421" t="s">
        <v>2646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400"/>
      <c r="Q39" s="1811" t="str">
        <f t="shared" si="11"/>
        <v>层高</v>
      </c>
      <c r="R39" s="773" t="s">
        <v>17</v>
      </c>
      <c r="S39" s="774">
        <f t="shared" si="12"/>
        <v>100</v>
      </c>
      <c r="T39" s="773" t="s">
        <v>17</v>
      </c>
      <c r="U39" s="774">
        <f t="shared" si="13"/>
        <v>100</v>
      </c>
      <c r="V39" s="773" t="s">
        <v>17</v>
      </c>
      <c r="W39" s="774">
        <f t="shared" si="14"/>
        <v>100</v>
      </c>
      <c r="X39" s="1814"/>
      <c r="Y39" s="3339"/>
      <c r="Z39" s="1815" t="str">
        <f t="shared" si="15"/>
        <v>层高</v>
      </c>
      <c r="AA39" s="1812">
        <f t="shared" si="3"/>
        <v>1</v>
      </c>
      <c r="AB39" s="1812">
        <f t="shared" si="4"/>
        <v>1</v>
      </c>
      <c r="AC39" s="1812">
        <f t="shared" si="5"/>
        <v>1</v>
      </c>
    </row>
    <row r="40" spans="1:29" ht="15">
      <c r="A40" s="471"/>
      <c r="B40" s="421" t="s">
        <v>2647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400"/>
      <c r="Q40" s="1811" t="str">
        <f t="shared" si="11"/>
        <v>单套建筑面积</v>
      </c>
      <c r="R40" s="773" t="s">
        <v>17</v>
      </c>
      <c r="S40" s="774">
        <f t="shared" si="12"/>
        <v>100</v>
      </c>
      <c r="T40" s="773" t="s">
        <v>17</v>
      </c>
      <c r="U40" s="774">
        <f t="shared" si="13"/>
        <v>100</v>
      </c>
      <c r="V40" s="773" t="s">
        <v>17</v>
      </c>
      <c r="W40" s="774">
        <f t="shared" si="14"/>
        <v>100</v>
      </c>
      <c r="X40" s="1814"/>
      <c r="Y40" s="3339"/>
      <c r="Z40" s="1815" t="str">
        <f t="shared" si="15"/>
        <v>单套建筑面积</v>
      </c>
      <c r="AA40" s="1812">
        <f t="shared" si="3"/>
        <v>1</v>
      </c>
      <c r="AB40" s="1812">
        <f t="shared" si="4"/>
        <v>1</v>
      </c>
      <c r="AC40" s="1812">
        <f t="shared" si="5"/>
        <v>1</v>
      </c>
    </row>
    <row r="41" spans="1:29" s="470" customFormat="1" ht="15">
      <c r="A41" s="467"/>
      <c r="B41" s="1813" t="s">
        <v>2648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400"/>
      <c r="Q41" s="775" t="str">
        <f t="shared" si="11"/>
        <v>进深比</v>
      </c>
      <c r="R41" s="776" t="s">
        <v>17</v>
      </c>
      <c r="S41" s="777">
        <f t="shared" si="12"/>
        <v>100</v>
      </c>
      <c r="T41" s="776" t="s">
        <v>17</v>
      </c>
      <c r="U41" s="777">
        <f t="shared" si="13"/>
        <v>100</v>
      </c>
      <c r="V41" s="776" t="s">
        <v>17</v>
      </c>
      <c r="W41" s="777">
        <f t="shared" si="14"/>
        <v>100</v>
      </c>
      <c r="X41" s="778"/>
      <c r="Y41" s="3339"/>
      <c r="Z41" s="779" t="str">
        <f t="shared" si="15"/>
        <v>进深比</v>
      </c>
      <c r="AA41" s="1812">
        <f t="shared" si="3"/>
        <v>1</v>
      </c>
      <c r="AB41" s="1812">
        <f t="shared" si="4"/>
        <v>1</v>
      </c>
      <c r="AC41" s="1812">
        <f t="shared" si="5"/>
        <v>1</v>
      </c>
    </row>
    <row r="42" spans="1:29" ht="15">
      <c r="A42" s="471"/>
      <c r="B42" s="421" t="s">
        <v>2649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400"/>
      <c r="Q42" s="1811" t="str">
        <f t="shared" si="11"/>
        <v>内部装修</v>
      </c>
      <c r="R42" s="773" t="s">
        <v>17</v>
      </c>
      <c r="S42" s="774">
        <f t="shared" si="12"/>
        <v>100</v>
      </c>
      <c r="T42" s="773" t="s">
        <v>17</v>
      </c>
      <c r="U42" s="774">
        <f t="shared" si="13"/>
        <v>100</v>
      </c>
      <c r="V42" s="773" t="s">
        <v>17</v>
      </c>
      <c r="W42" s="774">
        <f t="shared" si="14"/>
        <v>100</v>
      </c>
      <c r="X42" s="1814"/>
      <c r="Y42" s="3339"/>
      <c r="Z42" s="1815" t="str">
        <f t="shared" si="15"/>
        <v>内部装修</v>
      </c>
      <c r="AA42" s="1812">
        <f t="shared" si="3"/>
        <v>1</v>
      </c>
      <c r="AB42" s="1812">
        <f t="shared" si="4"/>
        <v>1</v>
      </c>
      <c r="AC42" s="1812">
        <f t="shared" si="5"/>
        <v>1</v>
      </c>
    </row>
    <row r="43" spans="1:29" ht="15">
      <c r="A43" s="471"/>
      <c r="B43" s="421" t="s">
        <v>2557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400"/>
      <c r="Q43" s="1811" t="str">
        <f t="shared" si="11"/>
        <v>内部装修维护情况</v>
      </c>
      <c r="R43" s="773" t="s">
        <v>17</v>
      </c>
      <c r="S43" s="774">
        <f t="shared" si="12"/>
        <v>100</v>
      </c>
      <c r="T43" s="773" t="s">
        <v>17</v>
      </c>
      <c r="U43" s="774">
        <f t="shared" si="13"/>
        <v>100</v>
      </c>
      <c r="V43" s="773" t="s">
        <v>17</v>
      </c>
      <c r="W43" s="774">
        <f t="shared" si="14"/>
        <v>100</v>
      </c>
      <c r="X43" s="1814"/>
      <c r="Y43" s="3339"/>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400"/>
      <c r="Q44" s="1796">
        <f t="shared" si="11"/>
        <v>111</v>
      </c>
      <c r="R44" s="769" t="s">
        <v>17</v>
      </c>
      <c r="S44" s="770">
        <f t="shared" si="12"/>
        <v>100</v>
      </c>
      <c r="T44" s="769" t="s">
        <v>17</v>
      </c>
      <c r="U44" s="770">
        <f t="shared" si="13"/>
        <v>100</v>
      </c>
      <c r="V44" s="769" t="s">
        <v>17</v>
      </c>
      <c r="W44" s="770">
        <f t="shared" si="14"/>
        <v>100</v>
      </c>
      <c r="X44" s="771"/>
      <c r="Y44" s="333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400"/>
      <c r="Q45" s="1811">
        <f t="shared" si="11"/>
        <v>111</v>
      </c>
      <c r="R45" s="773" t="s">
        <v>17</v>
      </c>
      <c r="S45" s="774">
        <f t="shared" si="12"/>
        <v>100</v>
      </c>
      <c r="T45" s="773" t="s">
        <v>17</v>
      </c>
      <c r="U45" s="774">
        <f t="shared" si="13"/>
        <v>100</v>
      </c>
      <c r="V45" s="773" t="s">
        <v>17</v>
      </c>
      <c r="W45" s="774">
        <f t="shared" si="14"/>
        <v>100</v>
      </c>
      <c r="X45" s="1814"/>
      <c r="Y45" s="3339"/>
      <c r="Z45" s="1815">
        <f t="shared" si="15"/>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401"/>
      <c r="Q46" s="1811">
        <f t="shared" si="11"/>
        <v>111</v>
      </c>
      <c r="R46" s="773" t="s">
        <v>17</v>
      </c>
      <c r="S46" s="774">
        <f t="shared" si="12"/>
        <v>100</v>
      </c>
      <c r="T46" s="773" t="s">
        <v>17</v>
      </c>
      <c r="U46" s="774">
        <f t="shared" si="13"/>
        <v>100</v>
      </c>
      <c r="V46" s="773" t="s">
        <v>17</v>
      </c>
      <c r="W46" s="774">
        <f t="shared" si="14"/>
        <v>100</v>
      </c>
      <c r="X46" s="1814"/>
      <c r="Y46" s="3402"/>
      <c r="Z46" s="1815">
        <f t="shared" si="15"/>
        <v>111</v>
      </c>
      <c r="AA46" s="1812">
        <f t="shared" si="3"/>
        <v>1</v>
      </c>
      <c r="AB46" s="1812">
        <f t="shared" si="4"/>
        <v>1</v>
      </c>
      <c r="AC46" s="1812">
        <f t="shared" si="5"/>
        <v>1</v>
      </c>
    </row>
    <row r="47" spans="1:29" ht="15">
      <c r="A47" s="478" t="s">
        <v>2558</v>
      </c>
      <c r="B47" s="479"/>
      <c r="C47" s="1409" t="s">
        <v>1</v>
      </c>
      <c r="D47" s="1410"/>
      <c r="E47" s="1411"/>
      <c r="F47" s="1412"/>
      <c r="G47" s="1413"/>
      <c r="H47" s="1414"/>
      <c r="I47" s="1411"/>
      <c r="J47" s="1414"/>
      <c r="K47" s="782"/>
      <c r="L47" s="1145"/>
      <c r="M47" s="1146"/>
      <c r="N47" s="1133"/>
      <c r="O47" s="1146"/>
      <c r="P47" s="3334" t="str">
        <f>A47</f>
        <v>成交单价（元/平方米）</v>
      </c>
      <c r="Q47" s="3334"/>
      <c r="R47" s="3340">
        <f>E47</f>
        <v>0</v>
      </c>
      <c r="S47" s="3340"/>
      <c r="T47" s="3340">
        <f>G47</f>
        <v>0</v>
      </c>
      <c r="U47" s="3340"/>
      <c r="V47" s="3340">
        <f>I47</f>
        <v>0</v>
      </c>
      <c r="W47" s="3340"/>
      <c r="X47" s="758"/>
      <c r="Y47" s="780"/>
      <c r="Z47" s="758"/>
      <c r="AA47" s="758"/>
      <c r="AB47" s="758"/>
      <c r="AC47" s="758"/>
    </row>
    <row r="48" spans="1:29" ht="15.75" thickBot="1">
      <c r="A48" s="485" t="s">
        <v>2650</v>
      </c>
      <c r="B48" s="486"/>
      <c r="C48" s="1415" t="e">
        <f>R49</f>
        <v>#DIV/0!</v>
      </c>
      <c r="D48" s="1416"/>
      <c r="E48" s="1417" t="e">
        <f>R48</f>
        <v>#DIV/0!</v>
      </c>
      <c r="F48" s="1417"/>
      <c r="G48" s="1415" t="e">
        <f>T48</f>
        <v>#DIV/0!</v>
      </c>
      <c r="H48" s="1416"/>
      <c r="I48" s="1417" t="e">
        <f>V48</f>
        <v>#DIV/0!</v>
      </c>
      <c r="J48" s="1416"/>
      <c r="K48" s="783"/>
      <c r="L48" s="1145"/>
      <c r="M48" s="1146"/>
      <c r="N48" s="1133"/>
      <c r="O48" s="1146"/>
      <c r="P48" s="3334" t="str">
        <f>A48</f>
        <v>比较价值（元/平方米）</v>
      </c>
      <c r="Q48" s="3334"/>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58"/>
      <c r="Y48" s="758"/>
      <c r="Z48" s="758"/>
      <c r="AA48" s="758"/>
      <c r="AB48" s="758"/>
      <c r="AC48" s="758"/>
    </row>
    <row r="49" spans="1:29" ht="15.75" thickBot="1">
      <c r="A49" s="491" t="s">
        <v>2651</v>
      </c>
      <c r="B49" s="492"/>
      <c r="C49" s="1419" t="e">
        <f>R49</f>
        <v>#DIV/0!</v>
      </c>
      <c r="D49" s="1419"/>
      <c r="E49" s="1419"/>
      <c r="F49" s="1419"/>
      <c r="G49" s="1419"/>
      <c r="H49" s="1419"/>
      <c r="I49" s="1419"/>
      <c r="J49" s="1419"/>
      <c r="K49" s="784"/>
      <c r="L49" s="1145"/>
      <c r="M49" s="1146"/>
      <c r="N49" s="1133"/>
      <c r="O49" s="1146"/>
      <c r="P49" s="3328" t="str">
        <f>A49</f>
        <v>估价对象XX用房的比较价值（楼面单价，元/平方米）</v>
      </c>
      <c r="Q49" s="3329"/>
      <c r="R49" s="3397" t="e">
        <f>IF(F1="售价",ROUND(AVERAGE(R48:V48),0),ROUND(AVERAGE(R48:V48),1))</f>
        <v>#DIV/0!</v>
      </c>
      <c r="S49" s="3397"/>
      <c r="T49" s="3397"/>
      <c r="U49" s="3397"/>
      <c r="V49" s="3397"/>
      <c r="W49" s="339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2529</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ht="15">
      <c r="A59" s="508"/>
      <c r="B59" s="509"/>
      <c r="C59" s="1574">
        <v>100</v>
      </c>
      <c r="D59" s="511"/>
      <c r="E59" s="511"/>
      <c r="F59" s="511"/>
      <c r="G59" s="511"/>
      <c r="H59" s="511"/>
      <c r="I59" s="511"/>
      <c r="J59" s="511"/>
      <c r="K59" s="511"/>
      <c r="L59" s="511"/>
      <c r="M59" s="512"/>
      <c r="N59" s="511"/>
      <c r="O59" s="512"/>
      <c r="P59" s="2627"/>
    </row>
    <row r="60" spans="1:29" s="116" customFormat="1" ht="15.75" thickBot="1">
      <c r="A60" s="514" t="s">
        <v>2566</v>
      </c>
      <c r="B60" s="515"/>
      <c r="C60" s="516"/>
      <c r="D60" s="517"/>
      <c r="E60" s="517"/>
      <c r="F60" s="517"/>
      <c r="G60" s="517"/>
      <c r="H60" s="517"/>
      <c r="I60" s="517"/>
      <c r="J60" s="517"/>
      <c r="K60" s="517"/>
      <c r="L60" s="517"/>
      <c r="M60" s="518"/>
      <c r="N60" s="517"/>
      <c r="O60" s="518"/>
      <c r="P60" s="2627"/>
      <c r="Q60" s="503"/>
    </row>
    <row r="61" spans="1:29" s="116" customFormat="1" ht="15">
      <c r="A61" s="520" t="s">
        <v>2531</v>
      </c>
      <c r="B61" s="509"/>
      <c r="C61" s="521" t="s">
        <v>2633</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2569</v>
      </c>
      <c r="B63" s="527" t="s">
        <v>2535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2539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2636</v>
      </c>
      <c r="C82" s="659" t="s">
        <v>2656</v>
      </c>
      <c r="D82" s="659" t="s">
        <v>2657</v>
      </c>
      <c r="E82" s="659" t="s">
        <v>2658</v>
      </c>
      <c r="F82" s="659" t="s">
        <v>2659</v>
      </c>
      <c r="G82" s="659" t="s">
        <v>2660</v>
      </c>
      <c r="H82" s="538"/>
      <c r="I82" s="538"/>
      <c r="J82" s="538"/>
      <c r="K82" s="538"/>
      <c r="L82" s="538"/>
      <c r="M82" s="1384"/>
      <c r="N82" s="1155"/>
      <c r="O82" s="1155"/>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9"/>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2661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6"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2544</v>
      </c>
      <c r="B100" s="527" t="s">
        <v>2662</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9"/>
      <c r="Q101" s="503"/>
    </row>
    <row r="102" spans="1:17" ht="15.75" thickTop="1">
      <c r="A102" s="533"/>
      <c r="B102" s="537" t="s">
        <v>2594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2595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9"/>
      <c r="Q106" s="503"/>
    </row>
    <row r="107" spans="1:17" ht="15" thickTop="1">
      <c r="A107" s="598"/>
      <c r="B107" s="537" t="s">
        <v>2597</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9"/>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9"/>
      <c r="Q111" s="503"/>
    </row>
    <row r="112" spans="1:17" s="470" customFormat="1" ht="15" thickTop="1">
      <c r="A112" s="592"/>
      <c r="B112" s="537" t="s">
        <v>2599</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0"/>
      <c r="Q113" s="558"/>
    </row>
    <row r="114" spans="1:17" ht="15" thickTop="1">
      <c r="A114" s="598"/>
      <c r="B114" s="537" t="s">
        <v>2663</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9"/>
      <c r="Q115" s="503"/>
    </row>
    <row r="116" spans="1:17" ht="15" thickTop="1">
      <c r="A116" s="598"/>
      <c r="B116" s="537" t="s">
        <v>2664</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2665</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2666</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0"/>
      <c r="Q121" s="558"/>
    </row>
    <row r="122" spans="1:17" ht="15" thickTop="1">
      <c r="A122" s="598"/>
      <c r="B122" s="537" t="s">
        <v>2601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9"/>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2509</v>
      </c>
      <c r="B1" s="2668" t="s">
        <v>2667</v>
      </c>
      <c r="C1" s="1621" t="s">
        <v>2511</v>
      </c>
      <c r="D1" s="1622"/>
      <c r="E1" s="1631"/>
      <c r="F1" s="2583"/>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2311</v>
      </c>
      <c r="B2" s="1420" t="e">
        <f ca="1">IF(C2="——",ROUND(C50*D3/10000,0),ROUND(C50*D3/10000,0)-D2)</f>
        <v>#DIV/0!</v>
      </c>
      <c r="C2" s="2585"/>
      <c r="D2" s="1367" t="e">
        <f ca="1">SUMIF(INDIRECT("'"&amp;F2&amp;"'"&amp;"!A:A"),"承租人权益价值",INDIRECT("'"&amp;F2&amp;"'"&amp;"!c:c"))</f>
        <v>#REF!</v>
      </c>
      <c r="E2" s="2586" t="s">
        <v>2312</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 ca="1">IF(C2="——",C50,ROUND(B2*10000/D3,0))</f>
        <v>#DIV/0!</v>
      </c>
      <c r="C3" s="399" t="s">
        <v>2625</v>
      </c>
      <c r="D3" s="398">
        <f>IF(D1="",'数据-汇总表'!E3,SUMIF('数据-汇总表'!$C19:$C33,D1,'数据-汇总表'!$E19:$E33))</f>
        <v>219161.38</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419" t="s">
        <v>2632</v>
      </c>
      <c r="Q4" s="3420"/>
      <c r="R4" s="3423" t="s">
        <v>2628</v>
      </c>
      <c r="S4" s="3424"/>
      <c r="T4" s="3423" t="s">
        <v>2629</v>
      </c>
      <c r="U4" s="3424"/>
      <c r="V4" s="3425" t="s">
        <v>2630</v>
      </c>
      <c r="W4" s="3425"/>
      <c r="X4" s="2669"/>
      <c r="Y4" s="3423" t="s">
        <v>2632</v>
      </c>
      <c r="Z4" s="3424"/>
      <c r="AA4" s="3427" t="s">
        <v>2628</v>
      </c>
      <c r="AB4" s="3427" t="s">
        <v>2629</v>
      </c>
      <c r="AC4" s="3416" t="s">
        <v>2630</v>
      </c>
    </row>
    <row r="5" spans="1:29" ht="15">
      <c r="A5" s="403"/>
      <c r="B5" s="404"/>
      <c r="C5" s="3407" t="s">
        <v>2523</v>
      </c>
      <c r="D5" s="3408"/>
      <c r="E5" s="3411" t="s">
        <v>2524</v>
      </c>
      <c r="F5" s="3412"/>
      <c r="G5" s="3407" t="s">
        <v>2525</v>
      </c>
      <c r="H5" s="3408"/>
      <c r="I5" s="3407" t="s">
        <v>2526</v>
      </c>
      <c r="J5" s="3408"/>
      <c r="K5" s="609"/>
      <c r="L5" s="1132"/>
      <c r="M5" s="1133"/>
      <c r="N5" s="1133"/>
      <c r="O5" s="1133"/>
      <c r="P5" s="3421"/>
      <c r="Q5" s="3350"/>
      <c r="R5" s="3355"/>
      <c r="S5" s="3356"/>
      <c r="T5" s="3355"/>
      <c r="U5" s="3356"/>
      <c r="V5" s="3340"/>
      <c r="W5" s="3340"/>
      <c r="X5" s="1814"/>
      <c r="Y5" s="3355"/>
      <c r="Z5" s="3356"/>
      <c r="AA5" s="3342"/>
      <c r="AB5" s="3342"/>
      <c r="AC5" s="3417"/>
    </row>
    <row r="6" spans="1:29" ht="15.75" thickBot="1">
      <c r="A6" s="405"/>
      <c r="B6" s="406"/>
      <c r="C6" s="3405" t="s">
        <v>2527</v>
      </c>
      <c r="D6" s="3406"/>
      <c r="E6" s="3409" t="s">
        <v>2527</v>
      </c>
      <c r="F6" s="3410"/>
      <c r="G6" s="3405" t="s">
        <v>2527</v>
      </c>
      <c r="H6" s="3406"/>
      <c r="I6" s="3405" t="s">
        <v>2527</v>
      </c>
      <c r="J6" s="3406"/>
      <c r="K6" s="609" t="s">
        <v>2528</v>
      </c>
      <c r="L6" s="1132"/>
      <c r="M6" s="1133"/>
      <c r="N6" s="1133"/>
      <c r="O6" s="1133"/>
      <c r="P6" s="3422"/>
      <c r="Q6" s="3352"/>
      <c r="R6" s="3355"/>
      <c r="S6" s="3356"/>
      <c r="T6" s="3357"/>
      <c r="U6" s="3358"/>
      <c r="V6" s="3340"/>
      <c r="W6" s="3340"/>
      <c r="X6" s="1814"/>
      <c r="Y6" s="3357"/>
      <c r="Z6" s="3358"/>
      <c r="AA6" s="3343"/>
      <c r="AB6" s="3343"/>
      <c r="AC6" s="3418"/>
    </row>
    <row r="7" spans="1:29" s="116" customFormat="1" ht="15.75" thickBot="1">
      <c r="A7" s="407" t="s">
        <v>2529</v>
      </c>
      <c r="B7" s="408"/>
      <c r="C7" s="409">
        <f>'数据-取费表'!B2</f>
        <v>43444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426" t="s">
        <v>2530</v>
      </c>
      <c r="Q7" s="3365"/>
      <c r="R7" s="769" t="s">
        <v>17</v>
      </c>
      <c r="S7" s="770">
        <f t="shared" ref="S7:S15" si="0">F7</f>
        <v>0</v>
      </c>
      <c r="T7" s="769" t="s">
        <v>17</v>
      </c>
      <c r="U7" s="770">
        <f t="shared" ref="U7:U15" si="1">H7</f>
        <v>0</v>
      </c>
      <c r="V7" s="769" t="s">
        <v>17</v>
      </c>
      <c r="W7" s="770">
        <f t="shared" ref="W7:W15" si="2">J7</f>
        <v>0</v>
      </c>
      <c r="X7" s="771"/>
      <c r="Y7" s="3363" t="s">
        <v>2530</v>
      </c>
      <c r="Z7" s="3364"/>
      <c r="AA7" s="772" t="e">
        <f>D7/F7</f>
        <v>#DIV/0!</v>
      </c>
      <c r="AB7" s="772" t="e">
        <f>D7/H7</f>
        <v>#DIV/0!</v>
      </c>
      <c r="AC7" s="2670" t="e">
        <f>D7/J7</f>
        <v>#DIV/0!</v>
      </c>
    </row>
    <row r="8" spans="1:29" s="116" customFormat="1" ht="15.75" thickBot="1">
      <c r="A8" s="407" t="s">
        <v>2531</v>
      </c>
      <c r="B8" s="408"/>
      <c r="C8" s="413" t="s">
        <v>2633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426" t="s">
        <v>2533</v>
      </c>
      <c r="Q8" s="3364"/>
      <c r="R8" s="769" t="s">
        <v>17</v>
      </c>
      <c r="S8" s="770">
        <f t="shared" si="0"/>
        <v>0</v>
      </c>
      <c r="T8" s="769" t="s">
        <v>17</v>
      </c>
      <c r="U8" s="770">
        <f t="shared" si="1"/>
        <v>0</v>
      </c>
      <c r="V8" s="769" t="s">
        <v>17</v>
      </c>
      <c r="W8" s="770">
        <f t="shared" si="2"/>
        <v>0</v>
      </c>
      <c r="X8" s="771"/>
      <c r="Y8" s="3363" t="s">
        <v>2533</v>
      </c>
      <c r="Z8" s="3364"/>
      <c r="AA8" s="772" t="e">
        <f t="shared" ref="AA8:AA47" si="3">D8/F8</f>
        <v>#DIV/0!</v>
      </c>
      <c r="AB8" s="772" t="e">
        <f t="shared" ref="AB8:AB47" si="4">D8/H8</f>
        <v>#DIV/0!</v>
      </c>
      <c r="AC8" s="2670" t="e">
        <f t="shared" ref="AC8:AC47" si="5">D8/J8</f>
        <v>#DIV/0!</v>
      </c>
    </row>
    <row r="9" spans="1:29" s="116" customFormat="1">
      <c r="A9" s="414" t="s">
        <v>2534</v>
      </c>
      <c r="B9" s="70" t="s">
        <v>2535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33"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2670">
        <f t="shared" si="5"/>
        <v>1</v>
      </c>
    </row>
    <row r="10" spans="1:29" s="426" customFormat="1" ht="27">
      <c r="A10" s="420"/>
      <c r="B10" s="421" t="s">
        <v>2538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33"/>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2670">
        <f t="shared" si="5"/>
        <v>1</v>
      </c>
    </row>
    <row r="11" spans="1:29" ht="15">
      <c r="A11" s="427"/>
      <c r="B11" s="421" t="s">
        <v>2539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33"/>
      <c r="Q11" s="1796" t="str">
        <f t="shared" si="6"/>
        <v>容积率</v>
      </c>
      <c r="R11" s="769" t="s">
        <v>17</v>
      </c>
      <c r="S11" s="770" t="e">
        <f t="shared" si="0"/>
        <v>#N/A</v>
      </c>
      <c r="T11" s="769" t="s">
        <v>17</v>
      </c>
      <c r="U11" s="770" t="e">
        <f t="shared" si="1"/>
        <v>#N/A</v>
      </c>
      <c r="V11" s="769" t="s">
        <v>17</v>
      </c>
      <c r="W11" s="770" t="e">
        <f t="shared" si="2"/>
        <v>#N/A</v>
      </c>
      <c r="X11" s="771"/>
      <c r="Y11" s="3128"/>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4"/>
      <c r="M12" s="1135"/>
      <c r="N12" s="1135"/>
      <c r="O12" s="1135"/>
      <c r="P12" s="3333"/>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2"/>
      <c r="M13" s="1133"/>
      <c r="N13" s="1133"/>
      <c r="O13" s="1133"/>
      <c r="P13" s="3333"/>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333"/>
      <c r="Q14" s="1796">
        <f t="shared" si="6"/>
        <v>111</v>
      </c>
      <c r="R14" s="769" t="s">
        <v>17</v>
      </c>
      <c r="S14" s="770">
        <f t="shared" si="0"/>
        <v>100</v>
      </c>
      <c r="T14" s="769" t="s">
        <v>17</v>
      </c>
      <c r="U14" s="770">
        <f t="shared" si="1"/>
        <v>100</v>
      </c>
      <c r="V14" s="769" t="s">
        <v>17</v>
      </c>
      <c r="W14" s="770">
        <f t="shared" si="2"/>
        <v>100</v>
      </c>
      <c r="X14" s="771"/>
      <c r="Y14" s="3128"/>
      <c r="Z14" s="55">
        <f t="shared" si="7"/>
        <v>111</v>
      </c>
      <c r="AA14" s="772">
        <f t="shared" si="3"/>
        <v>1</v>
      </c>
      <c r="AB14" s="772">
        <f t="shared" si="4"/>
        <v>1</v>
      </c>
      <c r="AC14" s="2670">
        <f t="shared" si="5"/>
        <v>1</v>
      </c>
    </row>
    <row r="15" spans="1:29" ht="15">
      <c r="A15" s="439" t="s">
        <v>2540</v>
      </c>
      <c r="B15" s="628" t="s">
        <v>2668</v>
      </c>
      <c r="C15" s="2672">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403" t="s">
        <v>2541</v>
      </c>
      <c r="Q15" s="1811" t="str">
        <f t="shared" si="6"/>
        <v>办公集聚程度</v>
      </c>
      <c r="R15" s="773" t="s">
        <v>17</v>
      </c>
      <c r="S15" s="774">
        <f t="shared" si="0"/>
        <v>100</v>
      </c>
      <c r="T15" s="773" t="s">
        <v>17</v>
      </c>
      <c r="U15" s="774">
        <f t="shared" si="1"/>
        <v>100</v>
      </c>
      <c r="V15" s="773" t="s">
        <v>17</v>
      </c>
      <c r="W15" s="774">
        <f t="shared" si="2"/>
        <v>100</v>
      </c>
      <c r="X15" s="1814"/>
      <c r="Y15" s="3336" t="s">
        <v>2541</v>
      </c>
      <c r="Z15" s="1815" t="str">
        <f t="shared" si="7"/>
        <v>办公集聚程度</v>
      </c>
      <c r="AA15" s="1812">
        <f t="shared" si="3"/>
        <v>1</v>
      </c>
      <c r="AB15" s="1812">
        <f t="shared" si="4"/>
        <v>1</v>
      </c>
      <c r="AC15" s="2673">
        <f t="shared" si="5"/>
        <v>1</v>
      </c>
    </row>
    <row r="16" spans="1:29" ht="15">
      <c r="A16" s="427"/>
      <c r="B16" s="629"/>
      <c r="C16" s="2610"/>
      <c r="D16" s="447"/>
      <c r="E16" s="446"/>
      <c r="F16" s="447"/>
      <c r="G16" s="2610"/>
      <c r="H16" s="449"/>
      <c r="I16" s="446"/>
      <c r="J16" s="447"/>
      <c r="K16" s="614"/>
      <c r="L16" s="1142"/>
      <c r="M16" s="1133"/>
      <c r="N16" s="1133"/>
      <c r="O16" s="1133"/>
      <c r="P16" s="3404"/>
      <c r="Q16" s="1811"/>
      <c r="R16" s="773"/>
      <c r="S16" s="774"/>
      <c r="T16" s="773"/>
      <c r="U16" s="774"/>
      <c r="V16" s="773"/>
      <c r="W16" s="774"/>
      <c r="X16" s="1814"/>
      <c r="Y16" s="3337"/>
      <c r="Z16" s="1815"/>
      <c r="AA16" s="1812">
        <v>1</v>
      </c>
      <c r="AB16" s="1812">
        <v>1</v>
      </c>
      <c r="AC16" s="2673">
        <v>1</v>
      </c>
    </row>
    <row r="17" spans="1:29" ht="15">
      <c r="A17" s="427"/>
      <c r="B17" s="630" t="s">
        <v>2082</v>
      </c>
      <c r="C17" s="2674"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404"/>
      <c r="Q17" s="1811" t="str">
        <f>B17</f>
        <v>交通便捷度</v>
      </c>
      <c r="R17" s="773" t="s">
        <v>17</v>
      </c>
      <c r="S17" s="774">
        <f>F17</f>
        <v>100</v>
      </c>
      <c r="T17" s="773" t="s">
        <v>17</v>
      </c>
      <c r="U17" s="774">
        <f>H17</f>
        <v>100</v>
      </c>
      <c r="V17" s="773" t="s">
        <v>17</v>
      </c>
      <c r="W17" s="774">
        <f>J17</f>
        <v>100</v>
      </c>
      <c r="X17" s="1814"/>
      <c r="Y17" s="3337"/>
      <c r="Z17" s="1815" t="str">
        <f>Q17</f>
        <v>交通便捷度</v>
      </c>
      <c r="AA17" s="1812">
        <f t="shared" si="3"/>
        <v>1</v>
      </c>
      <c r="AB17" s="1812">
        <f t="shared" si="4"/>
        <v>1</v>
      </c>
      <c r="AC17" s="2673">
        <f t="shared" si="5"/>
        <v>1</v>
      </c>
    </row>
    <row r="18" spans="1:29" ht="15">
      <c r="A18" s="427"/>
      <c r="B18" s="631"/>
      <c r="C18" s="2675"/>
      <c r="D18" s="449"/>
      <c r="E18" s="2608"/>
      <c r="F18" s="449"/>
      <c r="G18" s="2609"/>
      <c r="H18" s="447"/>
      <c r="I18" s="2609"/>
      <c r="J18" s="447"/>
      <c r="K18" s="614"/>
      <c r="L18" s="1142"/>
      <c r="M18" s="1133"/>
      <c r="N18" s="1133"/>
      <c r="O18" s="1133"/>
      <c r="P18" s="3404"/>
      <c r="Q18" s="1811"/>
      <c r="R18" s="773"/>
      <c r="S18" s="774"/>
      <c r="T18" s="773"/>
      <c r="U18" s="774"/>
      <c r="V18" s="773"/>
      <c r="W18" s="774"/>
      <c r="X18" s="1814"/>
      <c r="Y18" s="3337"/>
      <c r="Z18" s="1815"/>
      <c r="AA18" s="1812">
        <v>1</v>
      </c>
      <c r="AB18" s="1812">
        <v>1</v>
      </c>
      <c r="AC18" s="2673">
        <v>1</v>
      </c>
    </row>
    <row r="19" spans="1:29" ht="15">
      <c r="A19" s="427"/>
      <c r="B19" s="630" t="s">
        <v>2669</v>
      </c>
      <c r="C19" s="2674"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404"/>
      <c r="Q19" s="1811" t="str">
        <f>B19</f>
        <v>公共配套设施</v>
      </c>
      <c r="R19" s="773" t="s">
        <v>17</v>
      </c>
      <c r="S19" s="774">
        <f>F19</f>
        <v>100</v>
      </c>
      <c r="T19" s="773" t="s">
        <v>17</v>
      </c>
      <c r="U19" s="774">
        <f>H19</f>
        <v>100</v>
      </c>
      <c r="V19" s="773" t="s">
        <v>17</v>
      </c>
      <c r="W19" s="774">
        <f>J19</f>
        <v>100</v>
      </c>
      <c r="X19" s="1814"/>
      <c r="Y19" s="3337"/>
      <c r="Z19" s="1815" t="str">
        <f>Q19</f>
        <v>公共配套设施</v>
      </c>
      <c r="AA19" s="1812">
        <f t="shared" si="3"/>
        <v>1</v>
      </c>
      <c r="AB19" s="1812">
        <f t="shared" si="4"/>
        <v>1</v>
      </c>
      <c r="AC19" s="2673">
        <f t="shared" si="5"/>
        <v>1</v>
      </c>
    </row>
    <row r="20" spans="1:29" ht="15">
      <c r="A20" s="427"/>
      <c r="B20" s="631"/>
      <c r="C20" s="2610"/>
      <c r="D20" s="447"/>
      <c r="E20" s="2603"/>
      <c r="F20" s="447"/>
      <c r="G20" s="2604"/>
      <c r="H20" s="447"/>
      <c r="I20" s="2604"/>
      <c r="J20" s="447"/>
      <c r="K20" s="614"/>
      <c r="L20" s="1142"/>
      <c r="M20" s="1133"/>
      <c r="N20" s="1133"/>
      <c r="O20" s="1133"/>
      <c r="P20" s="3404"/>
      <c r="Q20" s="1811"/>
      <c r="R20" s="773"/>
      <c r="S20" s="774"/>
      <c r="T20" s="773"/>
      <c r="U20" s="774"/>
      <c r="V20" s="773"/>
      <c r="W20" s="774"/>
      <c r="X20" s="1814"/>
      <c r="Y20" s="3337"/>
      <c r="Z20" s="1815"/>
      <c r="AA20" s="1812">
        <v>1</v>
      </c>
      <c r="AB20" s="1812">
        <v>1</v>
      </c>
      <c r="AC20" s="2673">
        <v>1</v>
      </c>
    </row>
    <row r="21" spans="1:29" ht="15">
      <c r="A21" s="427"/>
      <c r="B21" s="632" t="s">
        <v>2670</v>
      </c>
      <c r="C21" s="2674"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404"/>
      <c r="Q21" s="1811" t="str">
        <f>B21</f>
        <v>基础设施水平</v>
      </c>
      <c r="R21" s="773" t="s">
        <v>17</v>
      </c>
      <c r="S21" s="774">
        <f>F21</f>
        <v>100</v>
      </c>
      <c r="T21" s="773" t="s">
        <v>17</v>
      </c>
      <c r="U21" s="774">
        <f>H21</f>
        <v>100</v>
      </c>
      <c r="V21" s="773" t="s">
        <v>17</v>
      </c>
      <c r="W21" s="774">
        <f>J21</f>
        <v>100</v>
      </c>
      <c r="X21" s="1814"/>
      <c r="Y21" s="3337"/>
      <c r="Z21" s="1815" t="str">
        <f>Q21</f>
        <v>基础设施水平</v>
      </c>
      <c r="AA21" s="1812">
        <f t="shared" ref="AA21" si="8">D21/F21</f>
        <v>1</v>
      </c>
      <c r="AB21" s="1812">
        <f t="shared" ref="AB21" si="9">D21/H21</f>
        <v>1</v>
      </c>
      <c r="AC21" s="2673">
        <f t="shared" ref="AC21" si="10">D21/J21</f>
        <v>1</v>
      </c>
    </row>
    <row r="22" spans="1:29" ht="15">
      <c r="A22" s="427"/>
      <c r="B22" s="632"/>
      <c r="C22" s="2675"/>
      <c r="D22" s="447"/>
      <c r="E22" s="446"/>
      <c r="F22" s="447"/>
      <c r="G22" s="2610"/>
      <c r="H22" s="447"/>
      <c r="I22" s="2610"/>
      <c r="J22" s="447"/>
      <c r="K22" s="1385"/>
      <c r="L22" s="1142"/>
      <c r="M22" s="1133"/>
      <c r="N22" s="1133"/>
      <c r="O22" s="1133"/>
      <c r="P22" s="3404"/>
      <c r="Q22" s="1811"/>
      <c r="R22" s="773"/>
      <c r="S22" s="774"/>
      <c r="T22" s="773"/>
      <c r="U22" s="774"/>
      <c r="V22" s="773"/>
      <c r="W22" s="774"/>
      <c r="X22" s="1814"/>
      <c r="Y22" s="3337"/>
      <c r="Z22" s="1815"/>
      <c r="AA22" s="1812">
        <v>1</v>
      </c>
      <c r="AB22" s="1812">
        <v>1</v>
      </c>
      <c r="AC22" s="2673">
        <v>1</v>
      </c>
    </row>
    <row r="23" spans="1:29" ht="15">
      <c r="A23" s="427"/>
      <c r="B23" s="630" t="s">
        <v>2671</v>
      </c>
      <c r="C23" s="2674"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404"/>
      <c r="Q23" s="1811" t="str">
        <f>B23</f>
        <v>环境质量</v>
      </c>
      <c r="R23" s="773" t="s">
        <v>17</v>
      </c>
      <c r="S23" s="774">
        <f>F23</f>
        <v>100</v>
      </c>
      <c r="T23" s="773" t="s">
        <v>17</v>
      </c>
      <c r="U23" s="774">
        <f>H23</f>
        <v>100</v>
      </c>
      <c r="V23" s="773" t="s">
        <v>17</v>
      </c>
      <c r="W23" s="774">
        <f>J23</f>
        <v>100</v>
      </c>
      <c r="X23" s="1814"/>
      <c r="Y23" s="3337"/>
      <c r="Z23" s="1815" t="str">
        <f>Q23</f>
        <v>环境质量</v>
      </c>
      <c r="AA23" s="1812">
        <f t="shared" si="3"/>
        <v>1</v>
      </c>
      <c r="AB23" s="1812">
        <f t="shared" si="4"/>
        <v>1</v>
      </c>
      <c r="AC23" s="2673">
        <f t="shared" si="5"/>
        <v>1</v>
      </c>
    </row>
    <row r="24" spans="1:29" ht="15">
      <c r="A24" s="427"/>
      <c r="B24" s="632"/>
      <c r="C24" s="2610"/>
      <c r="D24" s="447"/>
      <c r="E24" s="2603"/>
      <c r="F24" s="447"/>
      <c r="G24" s="2604"/>
      <c r="H24" s="447"/>
      <c r="I24" s="2604"/>
      <c r="J24" s="447"/>
      <c r="K24" s="614"/>
      <c r="L24" s="1142"/>
      <c r="M24" s="1133"/>
      <c r="N24" s="1133"/>
      <c r="O24" s="1133"/>
      <c r="P24" s="3404"/>
      <c r="Q24" s="1811"/>
      <c r="R24" s="773"/>
      <c r="S24" s="774"/>
      <c r="T24" s="773"/>
      <c r="U24" s="774"/>
      <c r="V24" s="773"/>
      <c r="W24" s="774"/>
      <c r="X24" s="1814"/>
      <c r="Y24" s="3337"/>
      <c r="Z24" s="1815"/>
      <c r="AA24" s="1812">
        <v>1</v>
      </c>
      <c r="AB24" s="1812">
        <v>1</v>
      </c>
      <c r="AC24" s="2673">
        <v>1</v>
      </c>
    </row>
    <row r="25" spans="1:29" ht="27">
      <c r="A25" s="403"/>
      <c r="B25" s="630" t="s">
        <v>2672</v>
      </c>
      <c r="C25" s="2614"/>
      <c r="D25" s="434">
        <v>100</v>
      </c>
      <c r="E25" s="433"/>
      <c r="F25" s="434">
        <f>SUMIF(87:87,E26,88:88)-SUMIF(87:87,C26,88:88)+100</f>
        <v>100</v>
      </c>
      <c r="G25" s="2614"/>
      <c r="H25" s="434">
        <f>SUMIF(87:87,G26,88:88)-SUMIF(87:87,C26,88:88)+100</f>
        <v>100</v>
      </c>
      <c r="I25" s="433"/>
      <c r="J25" s="434">
        <f>SUMIF(87:87,I26,88:88)-SUMIF(87:87,C26,88:88)+100</f>
        <v>100</v>
      </c>
      <c r="K25" s="613"/>
      <c r="L25" s="1142"/>
      <c r="M25" s="1133"/>
      <c r="N25" s="1133"/>
      <c r="O25" s="1133"/>
      <c r="P25" s="3404"/>
      <c r="Q25" s="1811" t="str">
        <f>B25</f>
        <v>毗邻道路的类型与等级</v>
      </c>
      <c r="R25" s="773" t="s">
        <v>17</v>
      </c>
      <c r="S25" s="774">
        <f>F25</f>
        <v>100</v>
      </c>
      <c r="T25" s="773" t="s">
        <v>17</v>
      </c>
      <c r="U25" s="774">
        <f>H25</f>
        <v>100</v>
      </c>
      <c r="V25" s="773" t="s">
        <v>17</v>
      </c>
      <c r="W25" s="774">
        <f>J25</f>
        <v>100</v>
      </c>
      <c r="X25" s="1814"/>
      <c r="Y25" s="3337"/>
      <c r="Z25" s="1815" t="str">
        <f>Q25</f>
        <v>毗邻道路的类型与等级</v>
      </c>
      <c r="AA25" s="1812">
        <f t="shared" si="3"/>
        <v>1</v>
      </c>
      <c r="AB25" s="1812">
        <f t="shared" si="4"/>
        <v>1</v>
      </c>
      <c r="AC25" s="2673">
        <f t="shared" si="5"/>
        <v>1</v>
      </c>
    </row>
    <row r="26" spans="1:29" ht="15">
      <c r="A26" s="403"/>
      <c r="B26" s="631"/>
      <c r="C26" s="633"/>
      <c r="D26" s="434"/>
      <c r="E26" s="615"/>
      <c r="F26" s="434"/>
      <c r="G26" s="633"/>
      <c r="H26" s="434"/>
      <c r="I26" s="615"/>
      <c r="J26" s="434"/>
      <c r="K26" s="614"/>
      <c r="L26" s="1142"/>
      <c r="M26" s="1133"/>
      <c r="N26" s="1133"/>
      <c r="O26" s="1133"/>
      <c r="P26" s="3404"/>
      <c r="Q26" s="1811"/>
      <c r="R26" s="773"/>
      <c r="S26" s="774"/>
      <c r="T26" s="773"/>
      <c r="U26" s="774"/>
      <c r="V26" s="773"/>
      <c r="W26" s="774"/>
      <c r="X26" s="1814"/>
      <c r="Y26" s="3337"/>
      <c r="Z26" s="1815"/>
      <c r="AA26" s="1812">
        <v>1</v>
      </c>
      <c r="AB26" s="1812">
        <v>1</v>
      </c>
      <c r="AC26" s="2673">
        <v>1</v>
      </c>
    </row>
    <row r="27" spans="1:29" ht="15">
      <c r="A27" s="427"/>
      <c r="B27" s="631" t="s">
        <v>2640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404"/>
      <c r="Q27" s="1811" t="str">
        <f t="shared" ref="Q27:Q47" si="11">B27</f>
        <v>楼层</v>
      </c>
      <c r="R27" s="773" t="s">
        <v>17</v>
      </c>
      <c r="S27" s="774">
        <f>F27</f>
        <v>100</v>
      </c>
      <c r="T27" s="773" t="s">
        <v>17</v>
      </c>
      <c r="U27" s="774">
        <f>H27</f>
        <v>100</v>
      </c>
      <c r="V27" s="773" t="s">
        <v>17</v>
      </c>
      <c r="W27" s="774">
        <f>J27</f>
        <v>100</v>
      </c>
      <c r="X27" s="1814"/>
      <c r="Y27" s="3337"/>
      <c r="Z27" s="1815" t="str">
        <f>Q27</f>
        <v>楼层</v>
      </c>
      <c r="AA27" s="1812">
        <f t="shared" si="3"/>
        <v>1</v>
      </c>
      <c r="AB27" s="1812">
        <f t="shared" si="4"/>
        <v>1</v>
      </c>
      <c r="AC27" s="2673">
        <f t="shared" si="5"/>
        <v>1</v>
      </c>
    </row>
    <row r="28" spans="1:29" s="116" customFormat="1" ht="15">
      <c r="A28" s="430"/>
      <c r="B28" s="630" t="s">
        <v>2673</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404"/>
      <c r="Q28" s="1796" t="str">
        <f t="shared" si="11"/>
        <v>朝向</v>
      </c>
      <c r="R28" s="769" t="s">
        <v>17</v>
      </c>
      <c r="S28" s="770">
        <f>F28</f>
        <v>100</v>
      </c>
      <c r="T28" s="769" t="s">
        <v>17</v>
      </c>
      <c r="U28" s="770">
        <f>H28</f>
        <v>100</v>
      </c>
      <c r="V28" s="769" t="s">
        <v>17</v>
      </c>
      <c r="W28" s="770">
        <f>J28</f>
        <v>100</v>
      </c>
      <c r="X28" s="771"/>
      <c r="Y28" s="3337"/>
      <c r="Z28" s="55" t="str">
        <f>Q28</f>
        <v>朝向</v>
      </c>
      <c r="AA28" s="1812">
        <f>D28/F28</f>
        <v>1</v>
      </c>
      <c r="AB28" s="181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404"/>
      <c r="Q29" s="1811">
        <f t="shared" si="11"/>
        <v>111</v>
      </c>
      <c r="R29" s="773" t="s">
        <v>17</v>
      </c>
      <c r="S29" s="774">
        <f t="shared" ref="S29:S47" si="12">F29</f>
        <v>100</v>
      </c>
      <c r="T29" s="773" t="s">
        <v>17</v>
      </c>
      <c r="U29" s="774">
        <f t="shared" ref="U29:U47" si="13">H29</f>
        <v>100</v>
      </c>
      <c r="V29" s="773" t="s">
        <v>17</v>
      </c>
      <c r="W29" s="774">
        <f t="shared" ref="W29:W47" si="14">J29</f>
        <v>100</v>
      </c>
      <c r="X29" s="1814"/>
      <c r="Y29" s="3337"/>
      <c r="Z29" s="1815">
        <f t="shared" ref="Z29:Z47" si="15">Q29</f>
        <v>111</v>
      </c>
      <c r="AA29" s="1812">
        <f t="shared" si="3"/>
        <v>1</v>
      </c>
      <c r="AB29" s="181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404"/>
      <c r="Q30" s="1811">
        <f t="shared" si="11"/>
        <v>111</v>
      </c>
      <c r="R30" s="773" t="s">
        <v>17</v>
      </c>
      <c r="S30" s="774">
        <f t="shared" si="12"/>
        <v>100</v>
      </c>
      <c r="T30" s="773" t="s">
        <v>17</v>
      </c>
      <c r="U30" s="774">
        <f t="shared" si="13"/>
        <v>100</v>
      </c>
      <c r="V30" s="773" t="s">
        <v>17</v>
      </c>
      <c r="W30" s="774">
        <f t="shared" si="14"/>
        <v>100</v>
      </c>
      <c r="X30" s="1814"/>
      <c r="Y30" s="3337"/>
      <c r="Z30" s="1815">
        <f t="shared" si="15"/>
        <v>111</v>
      </c>
      <c r="AA30" s="1812">
        <f t="shared" si="3"/>
        <v>1</v>
      </c>
      <c r="AB30" s="181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404"/>
      <c r="Q31" s="1811">
        <f t="shared" si="11"/>
        <v>111</v>
      </c>
      <c r="R31" s="773" t="s">
        <v>17</v>
      </c>
      <c r="S31" s="774">
        <f t="shared" si="12"/>
        <v>100</v>
      </c>
      <c r="T31" s="773" t="s">
        <v>17</v>
      </c>
      <c r="U31" s="774">
        <f t="shared" si="13"/>
        <v>100</v>
      </c>
      <c r="V31" s="773" t="s">
        <v>17</v>
      </c>
      <c r="W31" s="774">
        <f t="shared" si="14"/>
        <v>100</v>
      </c>
      <c r="X31" s="1814"/>
      <c r="Y31" s="3337"/>
      <c r="Z31" s="1815">
        <f t="shared" si="15"/>
        <v>111</v>
      </c>
      <c r="AA31" s="1812">
        <f t="shared" si="3"/>
        <v>1</v>
      </c>
      <c r="AB31" s="181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404"/>
      <c r="Q32" s="1811">
        <f t="shared" si="11"/>
        <v>111</v>
      </c>
      <c r="R32" s="773" t="s">
        <v>17</v>
      </c>
      <c r="S32" s="774">
        <f t="shared" si="12"/>
        <v>100</v>
      </c>
      <c r="T32" s="773" t="s">
        <v>17</v>
      </c>
      <c r="U32" s="774">
        <f t="shared" si="13"/>
        <v>100</v>
      </c>
      <c r="V32" s="773" t="s">
        <v>17</v>
      </c>
      <c r="W32" s="774">
        <f t="shared" si="14"/>
        <v>100</v>
      </c>
      <c r="X32" s="1814"/>
      <c r="Y32" s="3337"/>
      <c r="Z32" s="1815">
        <f t="shared" si="15"/>
        <v>111</v>
      </c>
      <c r="AA32" s="1812">
        <f t="shared" si="3"/>
        <v>1</v>
      </c>
      <c r="AB32" s="1812">
        <f t="shared" si="4"/>
        <v>1</v>
      </c>
      <c r="AC32" s="2673">
        <f t="shared" si="5"/>
        <v>1</v>
      </c>
    </row>
    <row r="33" spans="1:29" ht="15">
      <c r="A33" s="439" t="s">
        <v>2544</v>
      </c>
      <c r="B33" s="70" t="s">
        <v>2674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399" t="s">
        <v>2546</v>
      </c>
      <c r="Q33" s="1811" t="str">
        <f t="shared" si="11"/>
        <v>建筑类型</v>
      </c>
      <c r="R33" s="773" t="s">
        <v>17</v>
      </c>
      <c r="S33" s="774">
        <f t="shared" si="12"/>
        <v>100</v>
      </c>
      <c r="T33" s="773" t="s">
        <v>17</v>
      </c>
      <c r="U33" s="774">
        <f t="shared" si="13"/>
        <v>100</v>
      </c>
      <c r="V33" s="773" t="s">
        <v>17</v>
      </c>
      <c r="W33" s="774">
        <f t="shared" si="14"/>
        <v>100</v>
      </c>
      <c r="X33" s="1814"/>
      <c r="Y33" s="3339" t="s">
        <v>2546</v>
      </c>
      <c r="Z33" s="1815" t="str">
        <f t="shared" si="15"/>
        <v>建筑类型</v>
      </c>
      <c r="AA33" s="1812">
        <f t="shared" si="3"/>
        <v>1</v>
      </c>
      <c r="AB33" s="1812">
        <f t="shared" si="4"/>
        <v>1</v>
      </c>
      <c r="AC33" s="2673">
        <f t="shared" si="5"/>
        <v>1</v>
      </c>
    </row>
    <row r="34" spans="1:29" s="470" customFormat="1" ht="15">
      <c r="A34" s="467"/>
      <c r="B34" s="421" t="s">
        <v>2547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400"/>
      <c r="Q34" s="775" t="str">
        <f t="shared" si="11"/>
        <v>项目建筑规模</v>
      </c>
      <c r="R34" s="776" t="s">
        <v>17</v>
      </c>
      <c r="S34" s="777" t="e">
        <f t="shared" si="12"/>
        <v>#N/A</v>
      </c>
      <c r="T34" s="776" t="s">
        <v>17</v>
      </c>
      <c r="U34" s="777" t="e">
        <f t="shared" si="13"/>
        <v>#N/A</v>
      </c>
      <c r="V34" s="776" t="s">
        <v>17</v>
      </c>
      <c r="W34" s="777" t="e">
        <f t="shared" si="14"/>
        <v>#N/A</v>
      </c>
      <c r="X34" s="778"/>
      <c r="Y34" s="3339"/>
      <c r="Z34" s="779" t="str">
        <f t="shared" si="15"/>
        <v>项目建筑规模</v>
      </c>
      <c r="AA34" s="1812" t="e">
        <f t="shared" si="3"/>
        <v>#N/A</v>
      </c>
      <c r="AB34" s="1812" t="e">
        <f t="shared" si="4"/>
        <v>#N/A</v>
      </c>
      <c r="AC34" s="2673" t="e">
        <f t="shared" si="5"/>
        <v>#N/A</v>
      </c>
    </row>
    <row r="35" spans="1:29" ht="15">
      <c r="A35" s="471"/>
      <c r="B35" s="421" t="s">
        <v>2548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400"/>
      <c r="Q35" s="1811" t="str">
        <f t="shared" si="11"/>
        <v>建筑结构</v>
      </c>
      <c r="R35" s="773" t="s">
        <v>17</v>
      </c>
      <c r="S35" s="774">
        <f t="shared" si="12"/>
        <v>100</v>
      </c>
      <c r="T35" s="773" t="s">
        <v>17</v>
      </c>
      <c r="U35" s="774">
        <f t="shared" si="13"/>
        <v>100</v>
      </c>
      <c r="V35" s="773" t="s">
        <v>17</v>
      </c>
      <c r="W35" s="774">
        <f t="shared" si="14"/>
        <v>100</v>
      </c>
      <c r="X35" s="1814"/>
      <c r="Y35" s="3339"/>
      <c r="Z35" s="1815" t="str">
        <f t="shared" si="15"/>
        <v>建筑结构</v>
      </c>
      <c r="AA35" s="1812">
        <f t="shared" si="3"/>
        <v>1</v>
      </c>
      <c r="AB35" s="1812">
        <f t="shared" si="4"/>
        <v>1</v>
      </c>
      <c r="AC35" s="2673">
        <f t="shared" si="5"/>
        <v>1</v>
      </c>
    </row>
    <row r="36" spans="1:29" ht="15">
      <c r="A36" s="471"/>
      <c r="B36" s="421" t="s">
        <v>2642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400"/>
      <c r="Q36" s="1811" t="str">
        <f t="shared" si="11"/>
        <v>公共部分装修</v>
      </c>
      <c r="R36" s="773" t="s">
        <v>17</v>
      </c>
      <c r="S36" s="774">
        <f t="shared" si="12"/>
        <v>100</v>
      </c>
      <c r="T36" s="773" t="s">
        <v>17</v>
      </c>
      <c r="U36" s="774">
        <f t="shared" si="13"/>
        <v>100</v>
      </c>
      <c r="V36" s="773" t="s">
        <v>17</v>
      </c>
      <c r="W36" s="774">
        <f t="shared" si="14"/>
        <v>100</v>
      </c>
      <c r="X36" s="1814"/>
      <c r="Y36" s="3339"/>
      <c r="Z36" s="1815" t="str">
        <f t="shared" si="15"/>
        <v>公共部分装修</v>
      </c>
      <c r="AA36" s="1812">
        <f t="shared" si="3"/>
        <v>1</v>
      </c>
      <c r="AB36" s="1812">
        <f t="shared" si="4"/>
        <v>1</v>
      </c>
      <c r="AC36" s="2673">
        <f t="shared" si="5"/>
        <v>1</v>
      </c>
    </row>
    <row r="37" spans="1:29" ht="15">
      <c r="A37" s="471"/>
      <c r="B37" s="421" t="s">
        <v>2643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400"/>
      <c r="Q37" s="1811" t="str">
        <f t="shared" si="11"/>
        <v>成新度</v>
      </c>
      <c r="R37" s="773" t="s">
        <v>17</v>
      </c>
      <c r="S37" s="774" t="e">
        <f t="shared" si="12"/>
        <v>#N/A</v>
      </c>
      <c r="T37" s="773" t="s">
        <v>17</v>
      </c>
      <c r="U37" s="774" t="e">
        <f t="shared" si="13"/>
        <v>#N/A</v>
      </c>
      <c r="V37" s="773" t="s">
        <v>17</v>
      </c>
      <c r="W37" s="774" t="e">
        <f t="shared" si="14"/>
        <v>#N/A</v>
      </c>
      <c r="X37" s="1814"/>
      <c r="Y37" s="3339"/>
      <c r="Z37" s="1815" t="str">
        <f t="shared" si="15"/>
        <v>成新度</v>
      </c>
      <c r="AA37" s="1812" t="e">
        <f t="shared" si="3"/>
        <v>#N/A</v>
      </c>
      <c r="AB37" s="1812" t="e">
        <f t="shared" si="4"/>
        <v>#N/A</v>
      </c>
      <c r="AC37" s="2673" t="e">
        <f t="shared" si="5"/>
        <v>#N/A</v>
      </c>
    </row>
    <row r="38" spans="1:29" s="116" customFormat="1" ht="15">
      <c r="A38" s="472"/>
      <c r="B38" s="421" t="s">
        <v>2675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400"/>
      <c r="Q38" s="1796" t="str">
        <f t="shared" si="11"/>
        <v>写字楼等级</v>
      </c>
      <c r="R38" s="769" t="s">
        <v>17</v>
      </c>
      <c r="S38" s="770">
        <f t="shared" si="12"/>
        <v>100</v>
      </c>
      <c r="T38" s="769" t="s">
        <v>17</v>
      </c>
      <c r="U38" s="770">
        <f t="shared" si="13"/>
        <v>100</v>
      </c>
      <c r="V38" s="769" t="s">
        <v>17</v>
      </c>
      <c r="W38" s="770">
        <f t="shared" si="14"/>
        <v>100</v>
      </c>
      <c r="X38" s="771"/>
      <c r="Y38" s="3339"/>
      <c r="Z38" s="55" t="str">
        <f t="shared" si="15"/>
        <v>写字楼等级</v>
      </c>
      <c r="AA38" s="772">
        <f t="shared" si="3"/>
        <v>1</v>
      </c>
      <c r="AB38" s="772">
        <f t="shared" si="4"/>
        <v>1</v>
      </c>
      <c r="AC38" s="2670">
        <f t="shared" si="5"/>
        <v>1</v>
      </c>
    </row>
    <row r="39" spans="1:29" ht="15">
      <c r="A39" s="471"/>
      <c r="B39" s="421" t="s">
        <v>2676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400" t="s">
        <v>2546</v>
      </c>
      <c r="Q39" s="1811" t="str">
        <f t="shared" si="11"/>
        <v>物业管理</v>
      </c>
      <c r="R39" s="773" t="s">
        <v>17</v>
      </c>
      <c r="S39" s="774">
        <f t="shared" si="12"/>
        <v>100</v>
      </c>
      <c r="T39" s="773" t="s">
        <v>17</v>
      </c>
      <c r="U39" s="774">
        <f t="shared" si="13"/>
        <v>100</v>
      </c>
      <c r="V39" s="773" t="s">
        <v>17</v>
      </c>
      <c r="W39" s="774">
        <f t="shared" si="14"/>
        <v>100</v>
      </c>
      <c r="X39" s="1814"/>
      <c r="Y39" s="3339" t="s">
        <v>2546</v>
      </c>
      <c r="Z39" s="1815" t="str">
        <f t="shared" si="15"/>
        <v>物业管理</v>
      </c>
      <c r="AA39" s="1812">
        <f t="shared" si="3"/>
        <v>1</v>
      </c>
      <c r="AB39" s="1812">
        <f t="shared" si="4"/>
        <v>1</v>
      </c>
      <c r="AC39" s="2673">
        <f t="shared" si="5"/>
        <v>1</v>
      </c>
    </row>
    <row r="40" spans="1:29" ht="15">
      <c r="A40" s="471"/>
      <c r="B40" s="421" t="s">
        <v>2644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400"/>
      <c r="Q40" s="1811" t="str">
        <f t="shared" si="11"/>
        <v>市政基础设施</v>
      </c>
      <c r="R40" s="773" t="s">
        <v>17</v>
      </c>
      <c r="S40" s="774">
        <f t="shared" si="12"/>
        <v>100</v>
      </c>
      <c r="T40" s="773" t="s">
        <v>17</v>
      </c>
      <c r="U40" s="774">
        <f t="shared" si="13"/>
        <v>100</v>
      </c>
      <c r="V40" s="773" t="s">
        <v>17</v>
      </c>
      <c r="W40" s="774">
        <f t="shared" si="14"/>
        <v>100</v>
      </c>
      <c r="X40" s="1814"/>
      <c r="Y40" s="3339"/>
      <c r="Z40" s="1815" t="str">
        <f t="shared" si="15"/>
        <v>市政基础设施</v>
      </c>
      <c r="AA40" s="1812">
        <f t="shared" si="3"/>
        <v>1</v>
      </c>
      <c r="AB40" s="1812">
        <f t="shared" si="4"/>
        <v>1</v>
      </c>
      <c r="AC40" s="2673">
        <f t="shared" si="5"/>
        <v>1</v>
      </c>
    </row>
    <row r="41" spans="1:29" ht="15">
      <c r="A41" s="471"/>
      <c r="B41" s="421" t="s">
        <v>2646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400"/>
      <c r="Q41" s="1811" t="str">
        <f t="shared" si="11"/>
        <v>层高</v>
      </c>
      <c r="R41" s="773" t="s">
        <v>17</v>
      </c>
      <c r="S41" s="774">
        <f t="shared" si="12"/>
        <v>100</v>
      </c>
      <c r="T41" s="773" t="s">
        <v>17</v>
      </c>
      <c r="U41" s="774">
        <f t="shared" si="13"/>
        <v>100</v>
      </c>
      <c r="V41" s="773" t="s">
        <v>17</v>
      </c>
      <c r="W41" s="774">
        <f t="shared" si="14"/>
        <v>100</v>
      </c>
      <c r="X41" s="1814"/>
      <c r="Y41" s="3339"/>
      <c r="Z41" s="1815" t="str">
        <f t="shared" si="15"/>
        <v>层高</v>
      </c>
      <c r="AA41" s="1812">
        <f t="shared" si="3"/>
        <v>1</v>
      </c>
      <c r="AB41" s="1812">
        <f t="shared" si="4"/>
        <v>1</v>
      </c>
      <c r="AC41" s="2673">
        <f t="shared" si="5"/>
        <v>1</v>
      </c>
    </row>
    <row r="42" spans="1:29" s="470" customFormat="1" ht="15">
      <c r="A42" s="467"/>
      <c r="B42" s="1813" t="s">
        <v>2677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400"/>
      <c r="Q42" s="775" t="str">
        <f t="shared" si="11"/>
        <v>单套建筑面积</v>
      </c>
      <c r="R42" s="776" t="s">
        <v>17</v>
      </c>
      <c r="S42" s="777">
        <f t="shared" si="12"/>
        <v>100</v>
      </c>
      <c r="T42" s="776" t="s">
        <v>17</v>
      </c>
      <c r="U42" s="777">
        <f t="shared" si="13"/>
        <v>100</v>
      </c>
      <c r="V42" s="776" t="s">
        <v>17</v>
      </c>
      <c r="W42" s="777">
        <f t="shared" si="14"/>
        <v>100</v>
      </c>
      <c r="X42" s="778"/>
      <c r="Y42" s="3339"/>
      <c r="Z42" s="779" t="str">
        <f t="shared" si="15"/>
        <v>单套建筑面积</v>
      </c>
      <c r="AA42" s="1812">
        <f t="shared" si="3"/>
        <v>1</v>
      </c>
      <c r="AB42" s="1812">
        <f t="shared" si="4"/>
        <v>1</v>
      </c>
      <c r="AC42" s="2673">
        <f t="shared" si="5"/>
        <v>1</v>
      </c>
    </row>
    <row r="43" spans="1:29" ht="15">
      <c r="A43" s="471"/>
      <c r="B43" s="421" t="s">
        <v>2649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400"/>
      <c r="Q43" s="1811" t="str">
        <f t="shared" si="11"/>
        <v>内部装修</v>
      </c>
      <c r="R43" s="773" t="s">
        <v>17</v>
      </c>
      <c r="S43" s="774">
        <f t="shared" si="12"/>
        <v>100</v>
      </c>
      <c r="T43" s="773" t="s">
        <v>17</v>
      </c>
      <c r="U43" s="774">
        <f t="shared" si="13"/>
        <v>100</v>
      </c>
      <c r="V43" s="773" t="s">
        <v>17</v>
      </c>
      <c r="W43" s="774">
        <f t="shared" si="14"/>
        <v>100</v>
      </c>
      <c r="X43" s="1814"/>
      <c r="Y43" s="3339"/>
      <c r="Z43" s="1815" t="str">
        <f t="shared" si="15"/>
        <v>内部装修</v>
      </c>
      <c r="AA43" s="1812">
        <f t="shared" si="3"/>
        <v>1</v>
      </c>
      <c r="AB43" s="1812">
        <f t="shared" si="4"/>
        <v>1</v>
      </c>
      <c r="AC43" s="2673">
        <f t="shared" si="5"/>
        <v>1</v>
      </c>
    </row>
    <row r="44" spans="1:29" ht="15">
      <c r="A44" s="471"/>
      <c r="B44" s="421" t="s">
        <v>2557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2"/>
      <c r="M44" s="1133"/>
      <c r="N44" s="1133"/>
      <c r="O44" s="1133"/>
      <c r="P44" s="3400"/>
      <c r="Q44" s="1811" t="str">
        <f t="shared" si="11"/>
        <v>内部装修维护情况</v>
      </c>
      <c r="R44" s="773" t="s">
        <v>17</v>
      </c>
      <c r="S44" s="774">
        <f t="shared" si="12"/>
        <v>100</v>
      </c>
      <c r="T44" s="773" t="s">
        <v>17</v>
      </c>
      <c r="U44" s="774">
        <f t="shared" si="13"/>
        <v>100</v>
      </c>
      <c r="V44" s="773" t="s">
        <v>17</v>
      </c>
      <c r="W44" s="774">
        <f t="shared" si="14"/>
        <v>100</v>
      </c>
      <c r="X44" s="1814"/>
      <c r="Y44" s="3339"/>
      <c r="Z44" s="1815" t="str">
        <f t="shared" si="15"/>
        <v>内部装修维护情况</v>
      </c>
      <c r="AA44" s="1812">
        <f t="shared" si="3"/>
        <v>1</v>
      </c>
      <c r="AB44" s="1812">
        <f t="shared" si="4"/>
        <v>1</v>
      </c>
      <c r="AC44" s="2673">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400"/>
      <c r="Q45" s="1796">
        <f t="shared" si="11"/>
        <v>111</v>
      </c>
      <c r="R45" s="769" t="s">
        <v>17</v>
      </c>
      <c r="S45" s="770">
        <f t="shared" si="12"/>
        <v>100</v>
      </c>
      <c r="T45" s="769" t="s">
        <v>17</v>
      </c>
      <c r="U45" s="770">
        <f t="shared" si="13"/>
        <v>100</v>
      </c>
      <c r="V45" s="769" t="s">
        <v>17</v>
      </c>
      <c r="W45" s="770">
        <f t="shared" si="14"/>
        <v>100</v>
      </c>
      <c r="X45" s="771"/>
      <c r="Y45" s="3339"/>
      <c r="Z45" s="55">
        <f t="shared" si="15"/>
        <v>111</v>
      </c>
      <c r="AA45" s="772">
        <f t="shared" si="3"/>
        <v>1</v>
      </c>
      <c r="AB45" s="772">
        <f t="shared" si="4"/>
        <v>1</v>
      </c>
      <c r="AC45" s="2670">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400"/>
      <c r="Q46" s="1811">
        <f t="shared" si="11"/>
        <v>111</v>
      </c>
      <c r="R46" s="773" t="s">
        <v>17</v>
      </c>
      <c r="S46" s="774">
        <f t="shared" si="12"/>
        <v>100</v>
      </c>
      <c r="T46" s="773" t="s">
        <v>17</v>
      </c>
      <c r="U46" s="774">
        <f t="shared" si="13"/>
        <v>100</v>
      </c>
      <c r="V46" s="773" t="s">
        <v>17</v>
      </c>
      <c r="W46" s="774">
        <f t="shared" si="14"/>
        <v>100</v>
      </c>
      <c r="X46" s="1814"/>
      <c r="Y46" s="3339"/>
      <c r="Z46" s="1815">
        <f t="shared" si="15"/>
        <v>111</v>
      </c>
      <c r="AA46" s="1812">
        <f t="shared" si="3"/>
        <v>1</v>
      </c>
      <c r="AB46" s="181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401"/>
      <c r="Q47" s="1811">
        <f t="shared" si="11"/>
        <v>111</v>
      </c>
      <c r="R47" s="773" t="s">
        <v>17</v>
      </c>
      <c r="S47" s="774">
        <f t="shared" si="12"/>
        <v>100</v>
      </c>
      <c r="T47" s="773" t="s">
        <v>17</v>
      </c>
      <c r="U47" s="774">
        <f t="shared" si="13"/>
        <v>100</v>
      </c>
      <c r="V47" s="773" t="s">
        <v>17</v>
      </c>
      <c r="W47" s="774">
        <f t="shared" si="14"/>
        <v>100</v>
      </c>
      <c r="X47" s="1814"/>
      <c r="Y47" s="3402"/>
      <c r="Z47" s="1815">
        <f t="shared" si="15"/>
        <v>111</v>
      </c>
      <c r="AA47" s="1812">
        <f t="shared" si="3"/>
        <v>1</v>
      </c>
      <c r="AB47" s="1812">
        <f t="shared" si="4"/>
        <v>1</v>
      </c>
      <c r="AC47" s="2673">
        <f t="shared" si="5"/>
        <v>1</v>
      </c>
    </row>
    <row r="48" spans="1:29" ht="15">
      <c r="A48" s="478" t="s">
        <v>2558</v>
      </c>
      <c r="B48" s="479"/>
      <c r="C48" s="1409" t="s">
        <v>1</v>
      </c>
      <c r="D48" s="1410"/>
      <c r="E48" s="1411"/>
      <c r="F48" s="1412"/>
      <c r="G48" s="1413"/>
      <c r="H48" s="1414"/>
      <c r="I48" s="1411"/>
      <c r="J48" s="484"/>
      <c r="K48" s="782"/>
      <c r="L48" s="1145"/>
      <c r="M48" s="1133"/>
      <c r="N48" s="1133"/>
      <c r="O48" s="1133"/>
      <c r="P48" s="3333" t="str">
        <f>A48</f>
        <v>成交单价（元/平方米）</v>
      </c>
      <c r="Q48" s="3334"/>
      <c r="R48" s="3398">
        <f>E48</f>
        <v>0</v>
      </c>
      <c r="S48" s="3398"/>
      <c r="T48" s="3398">
        <f>G48</f>
        <v>0</v>
      </c>
      <c r="U48" s="3398"/>
      <c r="V48" s="3398">
        <f>I48</f>
        <v>0</v>
      </c>
      <c r="W48" s="3398"/>
      <c r="X48" s="445"/>
      <c r="Y48" s="780"/>
      <c r="Z48" s="445"/>
      <c r="AA48" s="445"/>
      <c r="AB48" s="445"/>
      <c r="AC48" s="629"/>
    </row>
    <row r="49" spans="1:29" ht="15.75" thickBot="1">
      <c r="A49" s="485" t="s">
        <v>2650</v>
      </c>
      <c r="B49" s="486"/>
      <c r="C49" s="1415" t="e">
        <f>R50</f>
        <v>#DIV/0!</v>
      </c>
      <c r="D49" s="1416"/>
      <c r="E49" s="1417" t="e">
        <f>R49</f>
        <v>#DIV/0!</v>
      </c>
      <c r="F49" s="1417"/>
      <c r="G49" s="1415" t="e">
        <f>T49</f>
        <v>#DIV/0!</v>
      </c>
      <c r="H49" s="1416"/>
      <c r="I49" s="1417" t="e">
        <f>V49</f>
        <v>#DIV/0!</v>
      </c>
      <c r="J49" s="488"/>
      <c r="K49" s="783"/>
      <c r="L49" s="1145"/>
      <c r="M49" s="1133"/>
      <c r="N49" s="1133"/>
      <c r="O49" s="1133"/>
      <c r="P49" s="3333" t="str">
        <f>A49</f>
        <v>比较价值（元/平方米）</v>
      </c>
      <c r="Q49" s="3334"/>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445"/>
      <c r="Y49" s="445"/>
      <c r="Z49" s="445"/>
      <c r="AA49" s="445"/>
      <c r="AB49" s="445"/>
      <c r="AC49" s="629"/>
    </row>
    <row r="50" spans="1:29" ht="15.75" thickBot="1">
      <c r="A50" s="491" t="s">
        <v>2651</v>
      </c>
      <c r="B50" s="492"/>
      <c r="C50" s="1419" t="e">
        <f>R50</f>
        <v>#DIV/0!</v>
      </c>
      <c r="D50" s="1419"/>
      <c r="E50" s="1419"/>
      <c r="F50" s="1419"/>
      <c r="G50" s="1419"/>
      <c r="H50" s="1419"/>
      <c r="I50" s="1419"/>
      <c r="J50" s="493"/>
      <c r="K50" s="784"/>
      <c r="L50" s="1145"/>
      <c r="M50" s="1133"/>
      <c r="N50" s="1133"/>
      <c r="O50" s="1133"/>
      <c r="P50" s="3413" t="str">
        <f>A50</f>
        <v>估价对象XX用房的比较价值（楼面单价，元/平方米）</v>
      </c>
      <c r="Q50" s="3414"/>
      <c r="R50" s="3415" t="e">
        <f>IF(F1="售价",ROUND(AVERAGE(R49:V49),0),ROUND(AVERAGE(R49:V49),1))</f>
        <v>#DIV/0!</v>
      </c>
      <c r="S50" s="3415"/>
      <c r="T50" s="3415"/>
      <c r="U50" s="3415"/>
      <c r="V50" s="3415"/>
      <c r="W50" s="3415"/>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2655</v>
      </c>
      <c r="B58" s="758"/>
      <c r="C58" s="763"/>
      <c r="D58" s="763"/>
      <c r="E58" s="763"/>
      <c r="F58" s="764"/>
      <c r="G58" s="764"/>
      <c r="H58" s="763"/>
      <c r="I58" s="763"/>
      <c r="J58" s="763"/>
      <c r="K58" s="765"/>
      <c r="L58" s="1163"/>
      <c r="M58" s="1161"/>
      <c r="N58" s="1161"/>
      <c r="O58" s="1161"/>
      <c r="P58" s="2680"/>
      <c r="Q58" s="503"/>
    </row>
    <row r="59" spans="1:29" s="507" customFormat="1" ht="15">
      <c r="A59" s="504" t="s">
        <v>2529</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ht="15">
      <c r="A60" s="508"/>
      <c r="B60" s="509"/>
      <c r="C60" s="1574">
        <v>100</v>
      </c>
      <c r="D60" s="511"/>
      <c r="E60" s="511"/>
      <c r="F60" s="511"/>
      <c r="G60" s="511"/>
      <c r="H60" s="511"/>
      <c r="I60" s="511"/>
      <c r="J60" s="511"/>
      <c r="K60" s="511"/>
      <c r="L60" s="511"/>
      <c r="M60" s="512"/>
      <c r="N60" s="511"/>
      <c r="O60" s="512"/>
      <c r="P60" s="2681"/>
    </row>
    <row r="61" spans="1:29" s="116" customFormat="1" ht="15.75" thickBot="1">
      <c r="A61" s="514" t="s">
        <v>2566</v>
      </c>
      <c r="B61" s="515"/>
      <c r="C61" s="516"/>
      <c r="D61" s="517"/>
      <c r="E61" s="517"/>
      <c r="F61" s="517"/>
      <c r="G61" s="517"/>
      <c r="H61" s="517"/>
      <c r="I61" s="517"/>
      <c r="J61" s="517"/>
      <c r="K61" s="517"/>
      <c r="L61" s="517"/>
      <c r="M61" s="518"/>
      <c r="N61" s="517"/>
      <c r="O61" s="518"/>
      <c r="P61" s="2681"/>
      <c r="Q61" s="503"/>
    </row>
    <row r="62" spans="1:29" s="116" customFormat="1" ht="15">
      <c r="A62" s="520" t="s">
        <v>2531</v>
      </c>
      <c r="B62" s="509"/>
      <c r="C62" s="521" t="s">
        <v>2633</v>
      </c>
      <c r="D62" s="522"/>
      <c r="E62" s="522"/>
      <c r="F62" s="522"/>
      <c r="G62" s="522"/>
      <c r="H62" s="522"/>
      <c r="I62" s="522"/>
      <c r="J62" s="522"/>
      <c r="K62" s="522"/>
      <c r="L62" s="523"/>
      <c r="M62" s="524"/>
      <c r="N62" s="1153"/>
      <c r="O62" s="1153"/>
      <c r="P62" s="2682"/>
      <c r="Q62" s="503"/>
    </row>
    <row r="63" spans="1:29" s="116"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2569</v>
      </c>
      <c r="B64" s="527" t="s">
        <v>2535</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2538</v>
      </c>
      <c r="C66" s="538" t="s">
        <v>2570</v>
      </c>
      <c r="D66" s="538" t="s">
        <v>2571</v>
      </c>
      <c r="E66" s="538" t="s">
        <v>2572</v>
      </c>
      <c r="F66" s="538" t="s">
        <v>2573</v>
      </c>
      <c r="G66" s="538" t="s">
        <v>2574</v>
      </c>
      <c r="H66" s="538" t="s">
        <v>2575</v>
      </c>
      <c r="I66" s="538" t="s">
        <v>2576</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2539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3"/>
      <c r="Q68" s="503"/>
    </row>
    <row r="69" spans="1:17" ht="15">
      <c r="A69" s="533"/>
      <c r="B69" s="547"/>
      <c r="C69" s="548"/>
      <c r="D69" s="548"/>
      <c r="E69" s="548"/>
      <c r="F69" s="548"/>
      <c r="G69" s="548"/>
      <c r="H69" s="548"/>
      <c r="I69" s="548"/>
      <c r="J69" s="548"/>
      <c r="K69" s="549"/>
      <c r="L69" s="550"/>
      <c r="M69" s="551"/>
      <c r="N69" s="1154"/>
      <c r="O69" s="1154"/>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2540</v>
      </c>
      <c r="B77" s="527" t="s">
        <v>2678</v>
      </c>
      <c r="C77" s="572" t="s">
        <v>2578</v>
      </c>
      <c r="D77" s="572" t="s">
        <v>2579</v>
      </c>
      <c r="E77" s="572" t="s">
        <v>2580</v>
      </c>
      <c r="F77" s="572" t="s">
        <v>2581</v>
      </c>
      <c r="G77" s="572" t="s">
        <v>2582</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2583</v>
      </c>
      <c r="C79" s="577" t="s">
        <v>2578</v>
      </c>
      <c r="D79" s="577" t="s">
        <v>2579</v>
      </c>
      <c r="E79" s="577" t="s">
        <v>2580</v>
      </c>
      <c r="F79" s="577" t="s">
        <v>2581</v>
      </c>
      <c r="G79" s="577" t="s">
        <v>2582</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2584</v>
      </c>
      <c r="C81" s="577" t="s">
        <v>2578</v>
      </c>
      <c r="D81" s="577" t="s">
        <v>2579</v>
      </c>
      <c r="E81" s="577" t="s">
        <v>2580</v>
      </c>
      <c r="F81" s="577" t="s">
        <v>2581</v>
      </c>
      <c r="G81" s="577" t="s">
        <v>2582</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2670</v>
      </c>
      <c r="C83" s="659" t="s">
        <v>2656</v>
      </c>
      <c r="D83" s="659" t="s">
        <v>2657</v>
      </c>
      <c r="E83" s="659" t="s">
        <v>2658</v>
      </c>
      <c r="F83" s="659" t="s">
        <v>2659</v>
      </c>
      <c r="G83" s="659" t="s">
        <v>2660</v>
      </c>
      <c r="H83" s="538"/>
      <c r="I83" s="538"/>
      <c r="J83" s="538"/>
      <c r="K83" s="538"/>
      <c r="L83" s="538"/>
      <c r="M83" s="1384"/>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2679</v>
      </c>
      <c r="C85" s="577" t="s">
        <v>2578</v>
      </c>
      <c r="D85" s="577" t="s">
        <v>2579</v>
      </c>
      <c r="E85" s="577" t="s">
        <v>2580</v>
      </c>
      <c r="F85" s="577" t="s">
        <v>2581</v>
      </c>
      <c r="G85" s="577" t="s">
        <v>2582</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6" customFormat="1" ht="27.75" thickTop="1">
      <c r="A87" s="578"/>
      <c r="B87" s="537" t="s">
        <v>2680</v>
      </c>
      <c r="C87" s="553"/>
      <c r="D87" s="553"/>
      <c r="E87" s="553"/>
      <c r="F87" s="553"/>
      <c r="G87" s="553"/>
      <c r="H87" s="553"/>
      <c r="I87" s="553"/>
      <c r="J87" s="553"/>
      <c r="K87" s="553"/>
      <c r="L87" s="579"/>
      <c r="M87" s="580"/>
      <c r="N87" s="1153"/>
      <c r="O87" s="1153"/>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3"/>
      <c r="Q88" s="503"/>
    </row>
    <row r="89" spans="1:17" s="116"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2544</v>
      </c>
      <c r="B101" s="527" t="s">
        <v>2593</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3"/>
      <c r="Q102" s="503"/>
    </row>
    <row r="103" spans="1:17" ht="15.75" thickTop="1">
      <c r="A103" s="533"/>
      <c r="B103" s="537" t="s">
        <v>2594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3"/>
      <c r="Q103" s="503"/>
    </row>
    <row r="104" spans="1:17" s="470" customFormat="1">
      <c r="A104" s="592"/>
      <c r="B104" s="593"/>
      <c r="C104" s="594"/>
      <c r="D104" s="594"/>
      <c r="E104" s="594"/>
      <c r="F104" s="594"/>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2595</v>
      </c>
      <c r="C106" s="553"/>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3"/>
      <c r="Q107" s="503"/>
    </row>
    <row r="108" spans="1:17" ht="15" thickTop="1">
      <c r="A108" s="598"/>
      <c r="B108" s="537" t="s">
        <v>2597</v>
      </c>
      <c r="C108" s="553"/>
      <c r="D108" s="553"/>
      <c r="E108" s="553"/>
      <c r="F108" s="582"/>
      <c r="G108" s="582"/>
      <c r="H108" s="582"/>
      <c r="I108" s="582"/>
      <c r="J108" s="582"/>
      <c r="K108" s="583"/>
      <c r="L108" s="584"/>
      <c r="M108" s="585"/>
      <c r="N108" s="1154"/>
      <c r="O108" s="1154"/>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3"/>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3"/>
      <c r="Q112" s="503"/>
    </row>
    <row r="113" spans="1:17" s="470" customFormat="1" ht="15" thickTop="1">
      <c r="A113" s="592"/>
      <c r="B113" s="537" t="s">
        <v>2681</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4"/>
      <c r="Q114" s="558"/>
    </row>
    <row r="115" spans="1:17" ht="15" thickTop="1">
      <c r="A115" s="598"/>
      <c r="B115" s="537" t="s">
        <v>2598</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3"/>
      <c r="Q116" s="503"/>
    </row>
    <row r="117" spans="1:17" ht="15" thickTop="1">
      <c r="A117" s="598"/>
      <c r="B117" s="537" t="s">
        <v>2599</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2682</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3"/>
      <c r="Q120" s="503"/>
    </row>
    <row r="121" spans="1:17" s="470" customFormat="1" ht="15" thickTop="1">
      <c r="A121" s="592"/>
      <c r="B121" s="537" t="s">
        <v>2665</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2601</v>
      </c>
      <c r="C123" s="553"/>
      <c r="D123" s="553"/>
      <c r="E123" s="553"/>
      <c r="F123" s="582"/>
      <c r="G123" s="582"/>
      <c r="H123" s="582"/>
      <c r="I123" s="582"/>
      <c r="J123" s="582"/>
      <c r="K123" s="583"/>
      <c r="L123" s="584"/>
      <c r="M123" s="585"/>
      <c r="N123" s="1154"/>
      <c r="O123" s="1154"/>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3"/>
      <c r="Q124" s="503"/>
    </row>
    <row r="125" spans="1:17" ht="15" thickTop="1">
      <c r="A125" s="598"/>
      <c r="B125" s="537" t="s">
        <v>2602</v>
      </c>
      <c r="C125" s="577" t="s">
        <v>2578</v>
      </c>
      <c r="D125" s="577" t="s">
        <v>2579</v>
      </c>
      <c r="E125" s="577" t="s">
        <v>2580</v>
      </c>
      <c r="F125" s="577" t="s">
        <v>2581</v>
      </c>
      <c r="G125" s="577" t="s">
        <v>2582</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2509</v>
      </c>
      <c r="B1" s="2668" t="s">
        <v>2683</v>
      </c>
      <c r="C1" s="1621" t="s">
        <v>2511</v>
      </c>
      <c r="D1" s="1622"/>
      <c r="E1" s="1631"/>
      <c r="F1" s="2583"/>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2311</v>
      </c>
      <c r="B2" s="1420" t="e">
        <f ca="1">IF(C2="——",ROUND(C43*D3/10000,0),ROUND(C43*D3/10000,0)-D2)</f>
        <v>#DIV/0!</v>
      </c>
      <c r="C2" s="2585"/>
      <c r="D2" s="1126" t="e">
        <f ca="1">SUMIF(INDIRECT("'"&amp;F2&amp;"'"&amp;"!A:A"),"承租人权益价值",INDIRECT("'"&amp;F2&amp;"'"&amp;"!c:c"))</f>
        <v>#REF!</v>
      </c>
      <c r="E2" s="2586" t="s">
        <v>2312</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2313</v>
      </c>
      <c r="B3" s="608" t="e">
        <f ca="1">IF(C2="——",C43,ROUND(B2*10000/D3,0))</f>
        <v>#DIV/0!</v>
      </c>
      <c r="C3" s="399" t="s">
        <v>2625</v>
      </c>
      <c r="D3" s="398">
        <f>IF(D1="",'数据-汇总表'!E3,SUMIF('数据-汇总表'!$C19:$C33,D1,'数据-汇总表'!$E19:$E33))</f>
        <v>219161.38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2" t="s">
        <v>2629</v>
      </c>
      <c r="AC4" s="3341" t="s">
        <v>2630</v>
      </c>
    </row>
    <row r="5" spans="1:29" ht="15">
      <c r="A5" s="403"/>
      <c r="B5" s="404"/>
      <c r="C5" s="3407" t="s">
        <v>2523</v>
      </c>
      <c r="D5" s="3408"/>
      <c r="E5" s="3411" t="s">
        <v>2524</v>
      </c>
      <c r="F5" s="3412"/>
      <c r="G5" s="3407" t="s">
        <v>2525</v>
      </c>
      <c r="H5" s="3408"/>
      <c r="I5" s="3407" t="s">
        <v>2526</v>
      </c>
      <c r="J5" s="3408"/>
      <c r="K5" s="609"/>
      <c r="L5" s="1132"/>
      <c r="M5" s="1133"/>
      <c r="N5" s="1133"/>
      <c r="O5" s="1133"/>
      <c r="P5" s="3349"/>
      <c r="Q5" s="3350"/>
      <c r="R5" s="3355"/>
      <c r="S5" s="3356"/>
      <c r="T5" s="3355"/>
      <c r="U5" s="3356"/>
      <c r="V5" s="3340"/>
      <c r="W5" s="3340"/>
      <c r="X5" s="1814"/>
      <c r="Y5" s="3355"/>
      <c r="Z5" s="3356"/>
      <c r="AA5" s="3342"/>
      <c r="AB5" s="3342"/>
      <c r="AC5" s="3342"/>
    </row>
    <row r="6" spans="1:29" ht="15.75" thickBot="1">
      <c r="A6" s="405"/>
      <c r="B6" s="406"/>
      <c r="C6" s="3405" t="s">
        <v>2527</v>
      </c>
      <c r="D6" s="3406"/>
      <c r="E6" s="3409" t="s">
        <v>2527</v>
      </c>
      <c r="F6" s="3410"/>
      <c r="G6" s="3405" t="s">
        <v>2527</v>
      </c>
      <c r="H6" s="3406"/>
      <c r="I6" s="3405" t="s">
        <v>2527</v>
      </c>
      <c r="J6" s="3406"/>
      <c r="K6" s="609" t="s">
        <v>2528</v>
      </c>
      <c r="L6" s="1132"/>
      <c r="M6" s="1133"/>
      <c r="N6" s="1133"/>
      <c r="O6" s="1133"/>
      <c r="P6" s="3351"/>
      <c r="Q6" s="3352"/>
      <c r="R6" s="3355"/>
      <c r="S6" s="3356"/>
      <c r="T6" s="3357"/>
      <c r="U6" s="3358"/>
      <c r="V6" s="3340"/>
      <c r="W6" s="3340"/>
      <c r="X6" s="1814"/>
      <c r="Y6" s="3357"/>
      <c r="Z6" s="3358"/>
      <c r="AA6" s="3343"/>
      <c r="AB6" s="3343"/>
      <c r="AC6" s="3343"/>
    </row>
    <row r="7" spans="1:29" s="116" customFormat="1" ht="15.75" thickBot="1">
      <c r="A7" s="407" t="s">
        <v>2529</v>
      </c>
      <c r="B7" s="408"/>
      <c r="C7" s="409">
        <f>'数据-取费表'!B2</f>
        <v>43444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63" t="s">
        <v>2530</v>
      </c>
      <c r="Q7" s="3365"/>
      <c r="R7" s="769" t="s">
        <v>17</v>
      </c>
      <c r="S7" s="770">
        <f t="shared" ref="S7:S15" si="0">F7</f>
        <v>0</v>
      </c>
      <c r="T7" s="769" t="s">
        <v>17</v>
      </c>
      <c r="U7" s="770">
        <f t="shared" ref="U7:U15" si="1">H7</f>
        <v>0</v>
      </c>
      <c r="V7" s="769" t="s">
        <v>17</v>
      </c>
      <c r="W7" s="770">
        <f t="shared" ref="W7:W15" si="2">J7</f>
        <v>0</v>
      </c>
      <c r="X7" s="771"/>
      <c r="Y7" s="3363" t="s">
        <v>2530</v>
      </c>
      <c r="Z7" s="3364"/>
      <c r="AA7" s="772" t="e">
        <f>D7/F7</f>
        <v>#DIV/0!</v>
      </c>
      <c r="AB7" s="772" t="e">
        <f>D7/H7</f>
        <v>#DIV/0!</v>
      </c>
      <c r="AC7" s="772" t="e">
        <f>D7/J7</f>
        <v>#DIV/0!</v>
      </c>
    </row>
    <row r="8" spans="1:29" s="116" customFormat="1" ht="15.75" thickBot="1">
      <c r="A8" s="407" t="s">
        <v>2531</v>
      </c>
      <c r="B8" s="408"/>
      <c r="C8" s="413" t="s">
        <v>2532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63" t="s">
        <v>2533</v>
      </c>
      <c r="Q8" s="3364"/>
      <c r="R8" s="769" t="s">
        <v>17</v>
      </c>
      <c r="S8" s="770">
        <f t="shared" si="0"/>
        <v>0</v>
      </c>
      <c r="T8" s="769" t="s">
        <v>17</v>
      </c>
      <c r="U8" s="770">
        <f t="shared" si="1"/>
        <v>0</v>
      </c>
      <c r="V8" s="769" t="s">
        <v>17</v>
      </c>
      <c r="W8" s="770">
        <f t="shared" si="2"/>
        <v>0</v>
      </c>
      <c r="X8" s="771"/>
      <c r="Y8" s="3363" t="s">
        <v>2533</v>
      </c>
      <c r="Z8" s="3364"/>
      <c r="AA8" s="772" t="e">
        <f t="shared" ref="AA8:AA40" si="3">D8/F8</f>
        <v>#DIV/0!</v>
      </c>
      <c r="AB8" s="772" t="e">
        <f t="shared" ref="AB8:AB40" si="4">D8/H8</f>
        <v>#DIV/0!</v>
      </c>
      <c r="AC8" s="772" t="e">
        <f t="shared" ref="AC8:AC40" si="5">D8/J8</f>
        <v>#DIV/0!</v>
      </c>
    </row>
    <row r="9" spans="1:29" s="116" customFormat="1">
      <c r="A9" s="414" t="s">
        <v>2534</v>
      </c>
      <c r="B9" s="70" t="s">
        <v>2535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34"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772">
        <f t="shared" si="5"/>
        <v>1</v>
      </c>
    </row>
    <row r="10" spans="1:29" s="426" customFormat="1" ht="27">
      <c r="A10" s="420"/>
      <c r="B10" s="421" t="s">
        <v>2538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34"/>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772">
        <f t="shared" si="5"/>
        <v>1</v>
      </c>
    </row>
    <row r="11" spans="1:29" ht="15">
      <c r="A11" s="427"/>
      <c r="B11" s="421" t="s">
        <v>2539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34"/>
      <c r="Q11" s="1796" t="str">
        <f t="shared" si="6"/>
        <v>容积率</v>
      </c>
      <c r="R11" s="769" t="s">
        <v>17</v>
      </c>
      <c r="S11" s="770" t="e">
        <f t="shared" si="0"/>
        <v>#N/A</v>
      </c>
      <c r="T11" s="769" t="s">
        <v>17</v>
      </c>
      <c r="U11" s="770" t="e">
        <f t="shared" si="1"/>
        <v>#N/A</v>
      </c>
      <c r="V11" s="769" t="s">
        <v>17</v>
      </c>
      <c r="W11" s="770" t="e">
        <f t="shared" si="2"/>
        <v>#N/A</v>
      </c>
      <c r="X11" s="771"/>
      <c r="Y11" s="3128"/>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4"/>
      <c r="M12" s="1135"/>
      <c r="N12" s="1135"/>
      <c r="O12" s="1136"/>
      <c r="P12" s="3334"/>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2"/>
      <c r="M13" s="1133"/>
      <c r="N13" s="1133"/>
      <c r="O13" s="1141"/>
      <c r="P13" s="3334"/>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334"/>
      <c r="Q14" s="1796">
        <f t="shared" si="6"/>
        <v>111</v>
      </c>
      <c r="R14" s="769" t="s">
        <v>17</v>
      </c>
      <c r="S14" s="770">
        <f t="shared" si="0"/>
        <v>100</v>
      </c>
      <c r="T14" s="769" t="s">
        <v>17</v>
      </c>
      <c r="U14" s="770">
        <f t="shared" si="1"/>
        <v>100</v>
      </c>
      <c r="V14" s="769" t="s">
        <v>17</v>
      </c>
      <c r="W14" s="770">
        <f t="shared" si="2"/>
        <v>100</v>
      </c>
      <c r="X14" s="771"/>
      <c r="Y14" s="3128"/>
      <c r="Z14" s="55">
        <f t="shared" si="7"/>
        <v>111</v>
      </c>
      <c r="AA14" s="772">
        <f t="shared" si="3"/>
        <v>1</v>
      </c>
      <c r="AB14" s="772">
        <f t="shared" si="4"/>
        <v>1</v>
      </c>
      <c r="AC14" s="772">
        <f t="shared" si="5"/>
        <v>1</v>
      </c>
    </row>
    <row r="15" spans="1:29" ht="15">
      <c r="A15" s="439" t="s">
        <v>2540</v>
      </c>
      <c r="B15" s="68" t="s">
        <v>2684</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36" t="s">
        <v>2541</v>
      </c>
      <c r="Q15" s="1811" t="str">
        <f t="shared" si="6"/>
        <v>产业集聚程度</v>
      </c>
      <c r="R15" s="773" t="s">
        <v>17</v>
      </c>
      <c r="S15" s="774">
        <f t="shared" si="0"/>
        <v>100</v>
      </c>
      <c r="T15" s="773" t="s">
        <v>17</v>
      </c>
      <c r="U15" s="774">
        <f t="shared" si="1"/>
        <v>100</v>
      </c>
      <c r="V15" s="773" t="s">
        <v>17</v>
      </c>
      <c r="W15" s="774">
        <f t="shared" si="2"/>
        <v>100</v>
      </c>
      <c r="X15" s="1814"/>
      <c r="Y15" s="3336" t="s">
        <v>2541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337"/>
      <c r="Q16" s="1811"/>
      <c r="R16" s="773"/>
      <c r="S16" s="774"/>
      <c r="T16" s="773"/>
      <c r="U16" s="774"/>
      <c r="V16" s="773"/>
      <c r="W16" s="774"/>
      <c r="X16" s="1814"/>
      <c r="Y16" s="3337"/>
      <c r="Z16" s="1815"/>
      <c r="AA16" s="1812">
        <v>1</v>
      </c>
      <c r="AB16" s="1812">
        <v>1</v>
      </c>
      <c r="AC16" s="1812">
        <v>1</v>
      </c>
    </row>
    <row r="17" spans="1:29" ht="15">
      <c r="A17" s="427"/>
      <c r="B17" s="450" t="s">
        <v>2082</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37"/>
      <c r="Q17" s="1811" t="str">
        <f>B17</f>
        <v>交通便捷度</v>
      </c>
      <c r="R17" s="773" t="s">
        <v>17</v>
      </c>
      <c r="S17" s="774">
        <f>F17</f>
        <v>100</v>
      </c>
      <c r="T17" s="773" t="s">
        <v>17</v>
      </c>
      <c r="U17" s="774">
        <f>H17</f>
        <v>100</v>
      </c>
      <c r="V17" s="773" t="s">
        <v>17</v>
      </c>
      <c r="W17" s="774">
        <f>J17</f>
        <v>100</v>
      </c>
      <c r="X17" s="1814"/>
      <c r="Y17" s="3337"/>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41"/>
      <c r="P18" s="3337"/>
      <c r="Q18" s="1811"/>
      <c r="R18" s="773"/>
      <c r="S18" s="774"/>
      <c r="T18" s="773"/>
      <c r="U18" s="774"/>
      <c r="V18" s="773"/>
      <c r="W18" s="774"/>
      <c r="X18" s="1814"/>
      <c r="Y18" s="3337"/>
      <c r="Z18" s="1815"/>
      <c r="AA18" s="1812">
        <v>1</v>
      </c>
      <c r="AB18" s="1812">
        <v>1</v>
      </c>
      <c r="AC18" s="1812">
        <v>1</v>
      </c>
    </row>
    <row r="19" spans="1:29" ht="15">
      <c r="A19" s="427"/>
      <c r="B19" s="450" t="s">
        <v>2669</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37"/>
      <c r="Q19" s="1811" t="str">
        <f>B19</f>
        <v>公共配套设施</v>
      </c>
      <c r="R19" s="773" t="s">
        <v>17</v>
      </c>
      <c r="S19" s="774">
        <f>F19</f>
        <v>100</v>
      </c>
      <c r="T19" s="773" t="s">
        <v>17</v>
      </c>
      <c r="U19" s="774">
        <f>H19</f>
        <v>100</v>
      </c>
      <c r="V19" s="773" t="s">
        <v>17</v>
      </c>
      <c r="W19" s="774">
        <f>J19</f>
        <v>100</v>
      </c>
      <c r="X19" s="1814"/>
      <c r="Y19" s="3337"/>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41"/>
      <c r="P20" s="3337"/>
      <c r="Q20" s="1811"/>
      <c r="R20" s="773"/>
      <c r="S20" s="774"/>
      <c r="T20" s="773"/>
      <c r="U20" s="774"/>
      <c r="V20" s="773"/>
      <c r="W20" s="774"/>
      <c r="X20" s="1814"/>
      <c r="Y20" s="3337"/>
      <c r="Z20" s="1815"/>
      <c r="AA20" s="1812">
        <v>1</v>
      </c>
      <c r="AB20" s="1812">
        <v>1</v>
      </c>
      <c r="AC20" s="1812">
        <v>1</v>
      </c>
    </row>
    <row r="21" spans="1:29" ht="15">
      <c r="A21" s="427"/>
      <c r="B21" s="1386" t="s">
        <v>2670</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37"/>
      <c r="Q21" s="1811" t="str">
        <f>B21</f>
        <v>基础设施水平</v>
      </c>
      <c r="R21" s="773" t="s">
        <v>17</v>
      </c>
      <c r="S21" s="774">
        <f>F21</f>
        <v>100</v>
      </c>
      <c r="T21" s="773" t="s">
        <v>17</v>
      </c>
      <c r="U21" s="774">
        <f>H21</f>
        <v>100</v>
      </c>
      <c r="V21" s="773" t="s">
        <v>17</v>
      </c>
      <c r="W21" s="774">
        <f>J21</f>
        <v>100</v>
      </c>
      <c r="X21" s="1814"/>
      <c r="Y21" s="3337"/>
      <c r="Z21" s="1815" t="str">
        <f>Q21</f>
        <v>基础设施水平</v>
      </c>
      <c r="AA21" s="1812">
        <f t="shared" ref="AA21" si="8">D21/F21</f>
        <v>1</v>
      </c>
      <c r="AB21" s="1812">
        <f t="shared" ref="AB21" si="9">D21/H21</f>
        <v>1</v>
      </c>
      <c r="AC21" s="1812">
        <f t="shared" ref="AC21" si="10">D21/J21</f>
        <v>1</v>
      </c>
    </row>
    <row r="22" spans="1:29" ht="15">
      <c r="A22" s="427"/>
      <c r="B22" s="1386"/>
      <c r="C22" s="2607"/>
      <c r="D22" s="447"/>
      <c r="E22" s="446"/>
      <c r="F22" s="448"/>
      <c r="G22" s="446"/>
      <c r="H22" s="447"/>
      <c r="I22" s="446"/>
      <c r="J22" s="447"/>
      <c r="K22" s="1385"/>
      <c r="L22" s="1142"/>
      <c r="M22" s="1133"/>
      <c r="N22" s="1133"/>
      <c r="O22" s="1141"/>
      <c r="P22" s="3337"/>
      <c r="Q22" s="1811"/>
      <c r="R22" s="773"/>
      <c r="S22" s="774"/>
      <c r="T22" s="773"/>
      <c r="U22" s="774"/>
      <c r="V22" s="773"/>
      <c r="W22" s="774"/>
      <c r="X22" s="1814"/>
      <c r="Y22" s="3337"/>
      <c r="Z22" s="1815"/>
      <c r="AA22" s="1812">
        <v>1</v>
      </c>
      <c r="AB22" s="1812">
        <v>1</v>
      </c>
      <c r="AC22" s="1812">
        <v>1</v>
      </c>
    </row>
    <row r="23" spans="1:29" ht="15">
      <c r="A23" s="427"/>
      <c r="B23" s="450" t="s">
        <v>2671</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37"/>
      <c r="Q23" s="1811" t="str">
        <f>B23</f>
        <v>环境质量</v>
      </c>
      <c r="R23" s="773" t="s">
        <v>17</v>
      </c>
      <c r="S23" s="774">
        <f>F23</f>
        <v>100</v>
      </c>
      <c r="T23" s="773" t="s">
        <v>17</v>
      </c>
      <c r="U23" s="774">
        <f>H23</f>
        <v>100</v>
      </c>
      <c r="V23" s="773" t="s">
        <v>17</v>
      </c>
      <c r="W23" s="774">
        <f>J23</f>
        <v>100</v>
      </c>
      <c r="X23" s="1814"/>
      <c r="Y23" s="3337"/>
      <c r="Z23" s="1815" t="str">
        <f>Q23</f>
        <v>环境质量</v>
      </c>
      <c r="AA23" s="1812">
        <f t="shared" si="3"/>
        <v>1</v>
      </c>
      <c r="AB23" s="1812">
        <f t="shared" si="4"/>
        <v>1</v>
      </c>
      <c r="AC23" s="1812">
        <f t="shared" si="5"/>
        <v>1</v>
      </c>
    </row>
    <row r="24" spans="1:29" ht="15">
      <c r="A24" s="427"/>
      <c r="B24" s="1386"/>
      <c r="C24" s="446"/>
      <c r="D24" s="447"/>
      <c r="E24" s="2604"/>
      <c r="F24" s="448"/>
      <c r="G24" s="2603"/>
      <c r="H24" s="447"/>
      <c r="I24" s="2604"/>
      <c r="J24" s="447"/>
      <c r="K24" s="614"/>
      <c r="L24" s="1142"/>
      <c r="M24" s="1133"/>
      <c r="N24" s="1133"/>
      <c r="O24" s="1141"/>
      <c r="P24" s="3337"/>
      <c r="Q24" s="1811"/>
      <c r="R24" s="773"/>
      <c r="S24" s="774"/>
      <c r="T24" s="773"/>
      <c r="U24" s="774"/>
      <c r="V24" s="773"/>
      <c r="W24" s="774"/>
      <c r="X24" s="1814"/>
      <c r="Y24" s="3337"/>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37"/>
      <c r="Q25" s="1811">
        <f>B25</f>
        <v>111</v>
      </c>
      <c r="R25" s="773" t="s">
        <v>17</v>
      </c>
      <c r="S25" s="774">
        <f>F25</f>
        <v>100</v>
      </c>
      <c r="T25" s="773" t="s">
        <v>17</v>
      </c>
      <c r="U25" s="774">
        <f>H25</f>
        <v>100</v>
      </c>
      <c r="V25" s="773" t="s">
        <v>17</v>
      </c>
      <c r="W25" s="774">
        <f>J25</f>
        <v>100</v>
      </c>
      <c r="X25" s="1814"/>
      <c r="Y25" s="3337"/>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37"/>
      <c r="Q26" s="1811">
        <f t="shared" ref="Q26:Q40" si="11">B26</f>
        <v>111</v>
      </c>
      <c r="R26" s="773" t="s">
        <v>17</v>
      </c>
      <c r="S26" s="774">
        <f>F26</f>
        <v>100</v>
      </c>
      <c r="T26" s="773" t="s">
        <v>17</v>
      </c>
      <c r="U26" s="774">
        <f>H26</f>
        <v>100</v>
      </c>
      <c r="V26" s="773" t="s">
        <v>17</v>
      </c>
      <c r="W26" s="774">
        <f>J26</f>
        <v>100</v>
      </c>
      <c r="X26" s="1814"/>
      <c r="Y26" s="3337"/>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37"/>
      <c r="Q27" s="1796">
        <f t="shared" si="11"/>
        <v>111</v>
      </c>
      <c r="R27" s="769" t="s">
        <v>17</v>
      </c>
      <c r="S27" s="770">
        <f>F27</f>
        <v>100</v>
      </c>
      <c r="T27" s="769" t="s">
        <v>17</v>
      </c>
      <c r="U27" s="770">
        <f>H27</f>
        <v>100</v>
      </c>
      <c r="V27" s="769" t="s">
        <v>17</v>
      </c>
      <c r="W27" s="770">
        <f>J27</f>
        <v>100</v>
      </c>
      <c r="X27" s="771"/>
      <c r="Y27" s="3337"/>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37"/>
      <c r="Q28" s="1811">
        <f t="shared" si="11"/>
        <v>111</v>
      </c>
      <c r="R28" s="773" t="s">
        <v>17</v>
      </c>
      <c r="S28" s="774">
        <f t="shared" ref="S28:S40" si="12">F28</f>
        <v>100</v>
      </c>
      <c r="T28" s="773" t="s">
        <v>17</v>
      </c>
      <c r="U28" s="774">
        <f t="shared" ref="U28:U40" si="13">H28</f>
        <v>100</v>
      </c>
      <c r="V28" s="773" t="s">
        <v>17</v>
      </c>
      <c r="W28" s="774">
        <f t="shared" ref="W28:W40" si="14">J28</f>
        <v>100</v>
      </c>
      <c r="X28" s="1814"/>
      <c r="Y28" s="3337"/>
      <c r="Z28" s="1815">
        <f t="shared" ref="Z28:Z40" si="15">Q28</f>
        <v>111</v>
      </c>
      <c r="AA28" s="1812">
        <f t="shared" si="3"/>
        <v>1</v>
      </c>
      <c r="AB28" s="1812">
        <f t="shared" si="4"/>
        <v>1</v>
      </c>
      <c r="AC28" s="1812">
        <f t="shared" si="5"/>
        <v>1</v>
      </c>
    </row>
    <row r="29" spans="1:29" ht="15">
      <c r="A29" s="465" t="s">
        <v>2544</v>
      </c>
      <c r="B29" s="70" t="s">
        <v>2674</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338" t="s">
        <v>2546</v>
      </c>
      <c r="Q29" s="1811" t="str">
        <f t="shared" si="11"/>
        <v>建筑类型</v>
      </c>
      <c r="R29" s="773" t="s">
        <v>17</v>
      </c>
      <c r="S29" s="774">
        <f t="shared" si="12"/>
        <v>100</v>
      </c>
      <c r="T29" s="773" t="s">
        <v>17</v>
      </c>
      <c r="U29" s="774">
        <f t="shared" si="13"/>
        <v>100</v>
      </c>
      <c r="V29" s="773" t="s">
        <v>17</v>
      </c>
      <c r="W29" s="774">
        <f t="shared" si="14"/>
        <v>100</v>
      </c>
      <c r="X29" s="1814"/>
      <c r="Y29" s="3339" t="s">
        <v>2546</v>
      </c>
      <c r="Z29" s="1815" t="str">
        <f t="shared" si="15"/>
        <v>建筑类型</v>
      </c>
      <c r="AA29" s="1812">
        <f t="shared" si="3"/>
        <v>1</v>
      </c>
      <c r="AB29" s="1812">
        <f t="shared" si="4"/>
        <v>1</v>
      </c>
      <c r="AC29" s="1812">
        <f t="shared" si="5"/>
        <v>1</v>
      </c>
    </row>
    <row r="30" spans="1:29" s="470" customFormat="1" ht="15">
      <c r="A30" s="467"/>
      <c r="B30" s="421" t="s">
        <v>2547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39"/>
      <c r="Q30" s="775" t="str">
        <f t="shared" si="11"/>
        <v>项目建筑规模</v>
      </c>
      <c r="R30" s="776" t="s">
        <v>17</v>
      </c>
      <c r="S30" s="777" t="e">
        <f t="shared" si="12"/>
        <v>#N/A</v>
      </c>
      <c r="T30" s="776" t="s">
        <v>17</v>
      </c>
      <c r="U30" s="777" t="e">
        <f t="shared" si="13"/>
        <v>#N/A</v>
      </c>
      <c r="V30" s="776" t="s">
        <v>17</v>
      </c>
      <c r="W30" s="777" t="e">
        <f t="shared" si="14"/>
        <v>#N/A</v>
      </c>
      <c r="X30" s="778"/>
      <c r="Y30" s="3339"/>
      <c r="Z30" s="779" t="str">
        <f t="shared" si="15"/>
        <v>项目建筑规模</v>
      </c>
      <c r="AA30" s="1812" t="e">
        <f t="shared" si="3"/>
        <v>#N/A</v>
      </c>
      <c r="AB30" s="1812" t="e">
        <f t="shared" si="4"/>
        <v>#N/A</v>
      </c>
      <c r="AC30" s="1812" t="e">
        <f t="shared" si="5"/>
        <v>#N/A</v>
      </c>
    </row>
    <row r="31" spans="1:29" ht="15">
      <c r="A31" s="471"/>
      <c r="B31" s="421" t="s">
        <v>2548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39"/>
      <c r="Q31" s="1811" t="str">
        <f t="shared" si="11"/>
        <v>建筑结构</v>
      </c>
      <c r="R31" s="773" t="s">
        <v>17</v>
      </c>
      <c r="S31" s="774">
        <f t="shared" si="12"/>
        <v>100</v>
      </c>
      <c r="T31" s="773" t="s">
        <v>17</v>
      </c>
      <c r="U31" s="774">
        <f t="shared" si="13"/>
        <v>100</v>
      </c>
      <c r="V31" s="773" t="s">
        <v>17</v>
      </c>
      <c r="W31" s="774">
        <f t="shared" si="14"/>
        <v>100</v>
      </c>
      <c r="X31" s="1814"/>
      <c r="Y31" s="3339"/>
      <c r="Z31" s="1815" t="str">
        <f t="shared" si="15"/>
        <v>建筑结构</v>
      </c>
      <c r="AA31" s="1812">
        <f t="shared" si="3"/>
        <v>1</v>
      </c>
      <c r="AB31" s="1812">
        <f t="shared" si="4"/>
        <v>1</v>
      </c>
      <c r="AC31" s="1812">
        <f t="shared" si="5"/>
        <v>1</v>
      </c>
    </row>
    <row r="32" spans="1:29" ht="15">
      <c r="A32" s="471"/>
      <c r="B32" s="421" t="s">
        <v>2642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39"/>
      <c r="Q32" s="1811" t="str">
        <f t="shared" si="11"/>
        <v>公共部分装修</v>
      </c>
      <c r="R32" s="773" t="s">
        <v>17</v>
      </c>
      <c r="S32" s="774">
        <f t="shared" si="12"/>
        <v>100</v>
      </c>
      <c r="T32" s="773" t="s">
        <v>17</v>
      </c>
      <c r="U32" s="774">
        <f t="shared" si="13"/>
        <v>100</v>
      </c>
      <c r="V32" s="773" t="s">
        <v>17</v>
      </c>
      <c r="W32" s="774">
        <f t="shared" si="14"/>
        <v>100</v>
      </c>
      <c r="X32" s="1814"/>
      <c r="Y32" s="3339"/>
      <c r="Z32" s="1815" t="str">
        <f t="shared" si="15"/>
        <v>公共部分装修</v>
      </c>
      <c r="AA32" s="1812">
        <f t="shared" si="3"/>
        <v>1</v>
      </c>
      <c r="AB32" s="1812">
        <f t="shared" si="4"/>
        <v>1</v>
      </c>
      <c r="AC32" s="1812">
        <f t="shared" si="5"/>
        <v>1</v>
      </c>
    </row>
    <row r="33" spans="1:29" ht="15">
      <c r="A33" s="471"/>
      <c r="B33" s="421" t="s">
        <v>2643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39"/>
      <c r="Q33" s="1811" t="str">
        <f t="shared" si="11"/>
        <v>成新度</v>
      </c>
      <c r="R33" s="773" t="s">
        <v>17</v>
      </c>
      <c r="S33" s="774" t="e">
        <f t="shared" si="12"/>
        <v>#N/A</v>
      </c>
      <c r="T33" s="773" t="s">
        <v>17</v>
      </c>
      <c r="U33" s="774" t="e">
        <f t="shared" si="13"/>
        <v>#N/A</v>
      </c>
      <c r="V33" s="773" t="s">
        <v>17</v>
      </c>
      <c r="W33" s="774" t="e">
        <f t="shared" si="14"/>
        <v>#N/A</v>
      </c>
      <c r="X33" s="1814"/>
      <c r="Y33" s="3339"/>
      <c r="Z33" s="1815" t="str">
        <f t="shared" si="15"/>
        <v>成新度</v>
      </c>
      <c r="AA33" s="1812" t="e">
        <f t="shared" si="3"/>
        <v>#N/A</v>
      </c>
      <c r="AB33" s="1812" t="e">
        <f t="shared" si="4"/>
        <v>#N/A</v>
      </c>
      <c r="AC33" s="1812" t="e">
        <f t="shared" si="5"/>
        <v>#N/A</v>
      </c>
    </row>
    <row r="34" spans="1:29" s="116" customFormat="1" ht="15">
      <c r="A34" s="472"/>
      <c r="B34" s="421" t="s">
        <v>2676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39"/>
      <c r="Q34" s="1796" t="str">
        <f t="shared" si="11"/>
        <v>物业管理</v>
      </c>
      <c r="R34" s="769" t="s">
        <v>17</v>
      </c>
      <c r="S34" s="770">
        <f t="shared" si="12"/>
        <v>100</v>
      </c>
      <c r="T34" s="769" t="s">
        <v>17</v>
      </c>
      <c r="U34" s="770">
        <f t="shared" si="13"/>
        <v>100</v>
      </c>
      <c r="V34" s="769" t="s">
        <v>17</v>
      </c>
      <c r="W34" s="770">
        <f t="shared" si="14"/>
        <v>100</v>
      </c>
      <c r="X34" s="771"/>
      <c r="Y34" s="3339"/>
      <c r="Z34" s="55" t="str">
        <f t="shared" si="15"/>
        <v>物业管理</v>
      </c>
      <c r="AA34" s="772">
        <f t="shared" si="3"/>
        <v>1</v>
      </c>
      <c r="AB34" s="772">
        <f t="shared" si="4"/>
        <v>1</v>
      </c>
      <c r="AC34" s="772">
        <f t="shared" si="5"/>
        <v>1</v>
      </c>
    </row>
    <row r="35" spans="1:29" ht="15">
      <c r="A35" s="471"/>
      <c r="B35" s="421" t="s">
        <v>2644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39" t="s">
        <v>2546</v>
      </c>
      <c r="Q35" s="1811" t="str">
        <f t="shared" si="11"/>
        <v>市政基础设施</v>
      </c>
      <c r="R35" s="773" t="s">
        <v>17</v>
      </c>
      <c r="S35" s="774">
        <f t="shared" si="12"/>
        <v>100</v>
      </c>
      <c r="T35" s="773" t="s">
        <v>17</v>
      </c>
      <c r="U35" s="774">
        <f t="shared" si="13"/>
        <v>100</v>
      </c>
      <c r="V35" s="773" t="s">
        <v>17</v>
      </c>
      <c r="W35" s="774">
        <f t="shared" si="14"/>
        <v>100</v>
      </c>
      <c r="X35" s="1814"/>
      <c r="Y35" s="3339" t="s">
        <v>2546</v>
      </c>
      <c r="Z35" s="1815" t="str">
        <f t="shared" si="15"/>
        <v>市政基础设施</v>
      </c>
      <c r="AA35" s="1812">
        <f t="shared" si="3"/>
        <v>1</v>
      </c>
      <c r="AB35" s="1812">
        <f t="shared" si="4"/>
        <v>1</v>
      </c>
      <c r="AC35" s="1812">
        <f t="shared" si="5"/>
        <v>1</v>
      </c>
    </row>
    <row r="36" spans="1:29" ht="15">
      <c r="A36" s="471"/>
      <c r="B36" s="421" t="s">
        <v>2649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39"/>
      <c r="Q36" s="1811" t="str">
        <f t="shared" si="11"/>
        <v>内部装修</v>
      </c>
      <c r="R36" s="773" t="s">
        <v>17</v>
      </c>
      <c r="S36" s="774">
        <f t="shared" si="12"/>
        <v>100</v>
      </c>
      <c r="T36" s="773" t="s">
        <v>17</v>
      </c>
      <c r="U36" s="774">
        <f t="shared" si="13"/>
        <v>100</v>
      </c>
      <c r="V36" s="773" t="s">
        <v>17</v>
      </c>
      <c r="W36" s="774">
        <f t="shared" si="14"/>
        <v>100</v>
      </c>
      <c r="X36" s="1814"/>
      <c r="Y36" s="3339"/>
      <c r="Z36" s="1815" t="str">
        <f t="shared" si="15"/>
        <v>内部装修</v>
      </c>
      <c r="AA36" s="1812">
        <f t="shared" si="3"/>
        <v>1</v>
      </c>
      <c r="AB36" s="1812">
        <f t="shared" si="4"/>
        <v>1</v>
      </c>
      <c r="AC36" s="1812">
        <f t="shared" si="5"/>
        <v>1</v>
      </c>
    </row>
    <row r="37" spans="1:29" ht="15">
      <c r="A37" s="471"/>
      <c r="B37" s="421" t="s">
        <v>2685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39"/>
      <c r="Q37" s="1811" t="str">
        <f t="shared" si="11"/>
        <v>内部装修状况</v>
      </c>
      <c r="R37" s="773" t="s">
        <v>17</v>
      </c>
      <c r="S37" s="774">
        <f t="shared" si="12"/>
        <v>100</v>
      </c>
      <c r="T37" s="773" t="s">
        <v>17</v>
      </c>
      <c r="U37" s="774">
        <f t="shared" si="13"/>
        <v>100</v>
      </c>
      <c r="V37" s="773" t="s">
        <v>17</v>
      </c>
      <c r="W37" s="774">
        <f t="shared" si="14"/>
        <v>100</v>
      </c>
      <c r="X37" s="1814"/>
      <c r="Y37" s="3339"/>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39"/>
      <c r="Q38" s="775">
        <f t="shared" si="11"/>
        <v>111</v>
      </c>
      <c r="R38" s="776" t="s">
        <v>17</v>
      </c>
      <c r="S38" s="777">
        <f t="shared" si="12"/>
        <v>100</v>
      </c>
      <c r="T38" s="776" t="s">
        <v>17</v>
      </c>
      <c r="U38" s="777">
        <f t="shared" si="13"/>
        <v>100</v>
      </c>
      <c r="V38" s="776" t="s">
        <v>17</v>
      </c>
      <c r="W38" s="777">
        <f t="shared" si="14"/>
        <v>100</v>
      </c>
      <c r="X38" s="778"/>
      <c r="Y38" s="3339"/>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39"/>
      <c r="Q39" s="1811">
        <f t="shared" si="11"/>
        <v>111</v>
      </c>
      <c r="R39" s="773" t="s">
        <v>17</v>
      </c>
      <c r="S39" s="774">
        <f t="shared" si="12"/>
        <v>100</v>
      </c>
      <c r="T39" s="773" t="s">
        <v>17</v>
      </c>
      <c r="U39" s="774">
        <f t="shared" si="13"/>
        <v>100</v>
      </c>
      <c r="V39" s="773" t="s">
        <v>17</v>
      </c>
      <c r="W39" s="774">
        <f t="shared" si="14"/>
        <v>100</v>
      </c>
      <c r="X39" s="1814"/>
      <c r="Y39" s="3339"/>
      <c r="Z39" s="1815">
        <f t="shared" si="15"/>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402"/>
      <c r="Q40" s="1811">
        <f t="shared" si="11"/>
        <v>111</v>
      </c>
      <c r="R40" s="773" t="s">
        <v>17</v>
      </c>
      <c r="S40" s="774">
        <f t="shared" si="12"/>
        <v>100</v>
      </c>
      <c r="T40" s="773" t="s">
        <v>17</v>
      </c>
      <c r="U40" s="774">
        <f t="shared" si="13"/>
        <v>100</v>
      </c>
      <c r="V40" s="773" t="s">
        <v>17</v>
      </c>
      <c r="W40" s="774">
        <f t="shared" si="14"/>
        <v>100</v>
      </c>
      <c r="X40" s="1814"/>
      <c r="Y40" s="3402"/>
      <c r="Z40" s="1815">
        <f t="shared" si="15"/>
        <v>111</v>
      </c>
      <c r="AA40" s="1812">
        <f t="shared" si="3"/>
        <v>1</v>
      </c>
      <c r="AB40" s="1812">
        <f t="shared" si="4"/>
        <v>1</v>
      </c>
      <c r="AC40" s="1812">
        <f t="shared" si="5"/>
        <v>1</v>
      </c>
    </row>
    <row r="41" spans="1:29" ht="15">
      <c r="A41" s="478" t="s">
        <v>2558</v>
      </c>
      <c r="B41" s="479"/>
      <c r="C41" s="1409" t="s">
        <v>1</v>
      </c>
      <c r="D41" s="1410"/>
      <c r="E41" s="1411"/>
      <c r="F41" s="1412"/>
      <c r="G41" s="1413"/>
      <c r="H41" s="1414"/>
      <c r="I41" s="1411"/>
      <c r="J41" s="1414"/>
      <c r="K41" s="782"/>
      <c r="L41" s="1145"/>
      <c r="M41" s="1146"/>
      <c r="N41" s="1133"/>
      <c r="O41" s="1146"/>
      <c r="P41" s="3334" t="str">
        <f>A41</f>
        <v>成交单价（元/平方米）</v>
      </c>
      <c r="Q41" s="3334"/>
      <c r="R41" s="3398">
        <f>E41</f>
        <v>0</v>
      </c>
      <c r="S41" s="3398"/>
      <c r="T41" s="3398">
        <f>G41</f>
        <v>0</v>
      </c>
      <c r="U41" s="3398"/>
      <c r="V41" s="3398">
        <f>I41</f>
        <v>0</v>
      </c>
      <c r="W41" s="3398"/>
      <c r="X41" s="758"/>
      <c r="Y41" s="780"/>
      <c r="Z41" s="758"/>
      <c r="AA41" s="758"/>
      <c r="AB41" s="758"/>
      <c r="AC41" s="758"/>
    </row>
    <row r="42" spans="1:29" ht="15.75" thickBot="1">
      <c r="A42" s="485" t="s">
        <v>2650</v>
      </c>
      <c r="B42" s="486"/>
      <c r="C42" s="1415" t="e">
        <f>R43</f>
        <v>#DIV/0!</v>
      </c>
      <c r="D42" s="1416"/>
      <c r="E42" s="1417" t="e">
        <f>R42</f>
        <v>#DIV/0!</v>
      </c>
      <c r="F42" s="1417"/>
      <c r="G42" s="1415" t="e">
        <f>T42</f>
        <v>#DIV/0!</v>
      </c>
      <c r="H42" s="1416"/>
      <c r="I42" s="1417" t="e">
        <f>V42</f>
        <v>#DIV/0!</v>
      </c>
      <c r="J42" s="1416"/>
      <c r="K42" s="783"/>
      <c r="L42" s="1145"/>
      <c r="M42" s="1146"/>
      <c r="N42" s="1133"/>
      <c r="O42" s="1146"/>
      <c r="P42" s="3334" t="str">
        <f>A42</f>
        <v>比较价值（元/平方米）</v>
      </c>
      <c r="Q42" s="3334"/>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758"/>
      <c r="Y42" s="758"/>
      <c r="Z42" s="758"/>
      <c r="AA42" s="758"/>
      <c r="AB42" s="758"/>
      <c r="AC42" s="758"/>
    </row>
    <row r="43" spans="1:29" ht="15.75" thickBot="1">
      <c r="A43" s="491" t="s">
        <v>2651</v>
      </c>
      <c r="B43" s="492"/>
      <c r="C43" s="1419" t="e">
        <f>R43</f>
        <v>#DIV/0!</v>
      </c>
      <c r="D43" s="1419"/>
      <c r="E43" s="1419"/>
      <c r="F43" s="1419"/>
      <c r="G43" s="1419"/>
      <c r="H43" s="1419"/>
      <c r="I43" s="1419"/>
      <c r="J43" s="1419"/>
      <c r="K43" s="784"/>
      <c r="L43" s="1145"/>
      <c r="M43" s="1146"/>
      <c r="N43" s="1146"/>
      <c r="O43" s="1146"/>
      <c r="P43" s="3328" t="str">
        <f>A43</f>
        <v>估价对象XX用房的比较价值（楼面单价，元/平方米）</v>
      </c>
      <c r="Q43" s="3329"/>
      <c r="R43" s="3397" t="e">
        <f>IF(F1="售价",ROUND(AVERAGE(R42:V42),0),ROUND(AVERAGE(R42:V42),1))</f>
        <v>#DIV/0!</v>
      </c>
      <c r="S43" s="3397"/>
      <c r="T43" s="3397"/>
      <c r="U43" s="3397"/>
      <c r="V43" s="3397"/>
      <c r="W43" s="339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2655</v>
      </c>
      <c r="B51" s="758"/>
      <c r="C51" s="763"/>
      <c r="D51" s="763"/>
      <c r="E51" s="763"/>
      <c r="F51" s="764"/>
      <c r="G51" s="764"/>
      <c r="H51" s="763"/>
      <c r="I51" s="763"/>
      <c r="J51" s="763"/>
      <c r="K51" s="1162"/>
      <c r="L51" s="1163"/>
      <c r="M51" s="1161"/>
      <c r="N51" s="1161"/>
      <c r="O51" s="1161"/>
      <c r="P51" s="502"/>
      <c r="Q51" s="503"/>
    </row>
    <row r="52" spans="1:17" s="507" customFormat="1" ht="15">
      <c r="A52" s="504" t="s">
        <v>2529</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2566</v>
      </c>
      <c r="B54" s="515"/>
      <c r="C54" s="516"/>
      <c r="D54" s="517"/>
      <c r="E54" s="517"/>
      <c r="F54" s="517"/>
      <c r="G54" s="517"/>
      <c r="H54" s="517"/>
      <c r="I54" s="517"/>
      <c r="J54" s="517"/>
      <c r="K54" s="517"/>
      <c r="L54" s="517"/>
      <c r="M54" s="518"/>
      <c r="N54" s="517"/>
      <c r="O54" s="519"/>
      <c r="P54" s="503"/>
      <c r="Q54" s="503"/>
    </row>
    <row r="55" spans="1:17" s="116" customFormat="1" ht="15">
      <c r="A55" s="520" t="s">
        <v>2531</v>
      </c>
      <c r="B55" s="509"/>
      <c r="C55" s="521" t="s">
        <v>2633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2569</v>
      </c>
      <c r="B57" s="527" t="s">
        <v>2535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2538</v>
      </c>
      <c r="C59" s="538" t="s">
        <v>2570</v>
      </c>
      <c r="D59" s="538" t="s">
        <v>2571</v>
      </c>
      <c r="E59" s="538" t="s">
        <v>2572</v>
      </c>
      <c r="F59" s="538" t="s">
        <v>2573</v>
      </c>
      <c r="G59" s="538" t="s">
        <v>2574</v>
      </c>
      <c r="H59" s="538" t="s">
        <v>2575</v>
      </c>
      <c r="I59" s="538" t="s">
        <v>2576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2539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2540</v>
      </c>
      <c r="B70" s="527" t="s">
        <v>2686</v>
      </c>
      <c r="C70" s="572" t="s">
        <v>2578</v>
      </c>
      <c r="D70" s="572" t="s">
        <v>2579</v>
      </c>
      <c r="E70" s="572" t="s">
        <v>2580</v>
      </c>
      <c r="F70" s="572" t="s">
        <v>2581</v>
      </c>
      <c r="G70" s="572" t="s">
        <v>2582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2583</v>
      </c>
      <c r="C72" s="577" t="s">
        <v>2578</v>
      </c>
      <c r="D72" s="577" t="s">
        <v>2579</v>
      </c>
      <c r="E72" s="577" t="s">
        <v>2580</v>
      </c>
      <c r="F72" s="577" t="s">
        <v>2581</v>
      </c>
      <c r="G72" s="577" t="s">
        <v>2582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2584</v>
      </c>
      <c r="C74" s="577" t="s">
        <v>2578</v>
      </c>
      <c r="D74" s="577" t="s">
        <v>2579</v>
      </c>
      <c r="E74" s="577" t="s">
        <v>2580</v>
      </c>
      <c r="F74" s="577" t="s">
        <v>2581</v>
      </c>
      <c r="G74" s="577" t="s">
        <v>2582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2670</v>
      </c>
      <c r="C76" s="659" t="s">
        <v>2656</v>
      </c>
      <c r="D76" s="659" t="s">
        <v>2657</v>
      </c>
      <c r="E76" s="659" t="s">
        <v>2658</v>
      </c>
      <c r="F76" s="659" t="s">
        <v>2659</v>
      </c>
      <c r="G76" s="659" t="s">
        <v>2660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2679</v>
      </c>
      <c r="C78" s="577" t="s">
        <v>2578</v>
      </c>
      <c r="D78" s="577" t="s">
        <v>2579</v>
      </c>
      <c r="E78" s="577" t="s">
        <v>2580</v>
      </c>
      <c r="F78" s="577" t="s">
        <v>2581</v>
      </c>
      <c r="G78" s="577" t="s">
        <v>2582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2544</v>
      </c>
      <c r="B88" s="527" t="s">
        <v>2593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2597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2598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2599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2687</v>
      </c>
      <c r="C106" s="577" t="s">
        <v>2578</v>
      </c>
      <c r="D106" s="577" t="s">
        <v>2579</v>
      </c>
      <c r="E106" s="577" t="s">
        <v>2580</v>
      </c>
      <c r="F106" s="577" t="s">
        <v>2581</v>
      </c>
      <c r="G106" s="577" t="s">
        <v>2582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v>
      </c>
      <c r="B3" s="3090"/>
      <c r="C3" s="3090"/>
      <c r="D3" s="3090"/>
      <c r="E3" s="3090"/>
    </row>
    <row r="4" spans="1:5" ht="19.5" thickBot="1">
      <c r="A4" s="1962"/>
      <c r="B4" s="3088" t="s">
        <v>1626</v>
      </c>
      <c r="C4" s="3088"/>
      <c r="D4" s="3088"/>
      <c r="E4" s="1962"/>
    </row>
    <row r="5" spans="1:5" ht="16.5" thickTop="1">
      <c r="A5" s="1960"/>
      <c r="B5" s="3086" t="s">
        <v>1618</v>
      </c>
      <c r="C5" s="1963" t="s">
        <v>1619</v>
      </c>
      <c r="D5" s="1042">
        <f ca="1">结果表!H101</f>
        <v>479297</v>
      </c>
      <c r="E5" s="1960"/>
    </row>
    <row r="6" spans="1:5" ht="15.75">
      <c r="A6" s="1960"/>
      <c r="B6" s="3086"/>
      <c r="C6" s="1963" t="s">
        <v>1620</v>
      </c>
      <c r="D6" s="1042" t="str">
        <f ca="1">NUMBERSTRING(INT(D5*10000),2)&amp;"元整"</f>
        <v>肆拾柒亿玖仟贰佰玖拾柒万元整</v>
      </c>
      <c r="E6" s="1960"/>
    </row>
    <row r="7" spans="1:5" ht="15.75">
      <c r="A7" s="1960"/>
      <c r="B7" s="3091"/>
      <c r="C7" s="1964" t="s">
        <v>1621</v>
      </c>
      <c r="D7" s="1043">
        <f ca="1">结果表!H102</f>
        <v>21870</v>
      </c>
      <c r="E7" s="1960"/>
    </row>
    <row r="8" spans="1:5" ht="15.75">
      <c r="A8" s="1960"/>
      <c r="B8" s="3092" t="str">
        <f>结果表!E103</f>
        <v>2.估价师知悉的法定优先受偿款</v>
      </c>
      <c r="C8" s="1965" t="s">
        <v>1622</v>
      </c>
      <c r="D8" s="1043">
        <f>结果表!H103</f>
        <v>0</v>
      </c>
      <c r="E8" s="1960"/>
    </row>
    <row r="9" spans="1:5" ht="15.75">
      <c r="A9" s="1960"/>
      <c r="B9" s="3094"/>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3085" t="str">
        <f>结果表!E107</f>
        <v>3.房地产抵押价值</v>
      </c>
      <c r="C13" s="1968" t="s">
        <v>1619</v>
      </c>
      <c r="D13" s="1045">
        <f ca="1">结果表!H107</f>
        <v>479297</v>
      </c>
      <c r="E13" s="1960"/>
    </row>
    <row r="14" spans="1:5" ht="15.75">
      <c r="A14" s="1960"/>
      <c r="B14" s="3086"/>
      <c r="C14" s="1963" t="s">
        <v>1620</v>
      </c>
      <c r="D14" s="1042" t="str">
        <f ca="1">NUMBERSTRING(INT(D13*10000),2)&amp;"元整"</f>
        <v>肆拾柒亿玖仟贰佰玖拾柒万元整</v>
      </c>
      <c r="E14" s="1960"/>
    </row>
    <row r="15" spans="1:5" ht="15">
      <c r="A15" s="1960"/>
      <c r="B15" s="3091"/>
      <c r="C15" s="1964" t="s">
        <v>1630</v>
      </c>
      <c r="D15" s="1054">
        <f ca="1">结果表!H108</f>
        <v>21870</v>
      </c>
      <c r="E15" s="1960"/>
    </row>
    <row r="16" spans="1:5" ht="15">
      <c r="A16" s="1960"/>
      <c r="B16" s="3092" t="str">
        <f>结果表!E109</f>
        <v>——</v>
      </c>
      <c r="C16" s="1968" t="s">
        <v>1631</v>
      </c>
      <c r="D16" s="1969" t="str">
        <f>结果表!H109</f>
        <v>——</v>
      </c>
      <c r="E16" s="1960"/>
    </row>
    <row r="17" spans="1:5" ht="15.75">
      <c r="A17" s="1960"/>
      <c r="B17" s="3093"/>
      <c r="C17" s="1963" t="s">
        <v>1632</v>
      </c>
      <c r="D17" s="1042" t="e">
        <f>NUMBERSTRING(INT(D16*10000),2)&amp;"元整"</f>
        <v>#VALUE!</v>
      </c>
      <c r="E17" s="1960"/>
    </row>
    <row r="18" spans="1:5" ht="15">
      <c r="A18" s="1960"/>
      <c r="B18" s="3094"/>
      <c r="C18" s="1964" t="s">
        <v>1621</v>
      </c>
      <c r="D18" s="1054" t="str">
        <f>结果表!H110</f>
        <v>——</v>
      </c>
      <c r="E18" s="1960"/>
    </row>
    <row r="19" spans="1:5" ht="15.75">
      <c r="A19" s="1960"/>
      <c r="B19" s="3085" t="str">
        <f>结果表!E111</f>
        <v>——</v>
      </c>
      <c r="C19" s="1968" t="s">
        <v>1619</v>
      </c>
      <c r="D19" s="1043" t="str">
        <f>结果表!H111</f>
        <v>——</v>
      </c>
      <c r="E19" s="1960"/>
    </row>
    <row r="20" spans="1:5" ht="15.75">
      <c r="A20" s="1960"/>
      <c r="B20" s="3086"/>
      <c r="C20" s="1963" t="s">
        <v>1632</v>
      </c>
      <c r="D20" s="1042" t="e">
        <f>NUMBERSTRING(INT(D19*10000),2)&amp;"元整"</f>
        <v>#VALUE!</v>
      </c>
      <c r="E20" s="1960"/>
    </row>
    <row r="21" spans="1:5" ht="15.75" thickBot="1">
      <c r="A21" s="1960"/>
      <c r="B21" s="3087"/>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2688</v>
      </c>
      <c r="B1" s="1620"/>
      <c r="C1" s="1621" t="s">
        <v>2511</v>
      </c>
      <c r="D1" s="1622"/>
      <c r="E1" s="1623"/>
      <c r="F1" s="2583"/>
      <c r="G1" s="1624" t="s">
        <v>2624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2311</v>
      </c>
      <c r="B2" s="1420" t="e">
        <f ca="1">IF(C2="——",IF(B37="元/平方米",ROUND(C39*D3/10000,0),ROUND(F3*C39/10000,0)),IF(B37="元/平方米",ROUND(C39*D3/10000,0),ROUND(F3*C39/10000,0))-D2)</f>
        <v>#DIV/0!</v>
      </c>
      <c r="C2" s="2585"/>
      <c r="D2" s="1126" t="e">
        <f ca="1">SUMIF(INDIRECT("'"&amp;F2&amp;"'"&amp;"!A:A"),"承租人权益价值",INDIRECT("'"&amp;F2&amp;"'"&amp;"!c:c"))</f>
        <v>#REF!</v>
      </c>
      <c r="E2" s="2586" t="s">
        <v>2312</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2313</v>
      </c>
      <c r="B3" s="608" t="e">
        <f ca="1">IF(AND(C2="——",B37="元/平方米"),C39,ROUND(B2*10000/D3,0))</f>
        <v>#DIV/0!</v>
      </c>
      <c r="C3" s="399" t="s">
        <v>2625</v>
      </c>
      <c r="D3" s="398">
        <f>SUMIF('数据-汇总表'!$C19:$C33,D1,'数据-汇总表'!$E19:$E33)</f>
        <v>0</v>
      </c>
      <c r="E3" s="399" t="s">
        <v>2689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2" t="s">
        <v>2629</v>
      </c>
      <c r="AC4" s="3341" t="s">
        <v>2630</v>
      </c>
    </row>
    <row r="5" spans="1:29" ht="15">
      <c r="A5" s="403"/>
      <c r="B5" s="404"/>
      <c r="C5" s="3407" t="s">
        <v>2523</v>
      </c>
      <c r="D5" s="3408"/>
      <c r="E5" s="3411" t="s">
        <v>2524</v>
      </c>
      <c r="F5" s="3412"/>
      <c r="G5" s="3407" t="s">
        <v>2525</v>
      </c>
      <c r="H5" s="3408"/>
      <c r="I5" s="3407" t="s">
        <v>2526</v>
      </c>
      <c r="J5" s="3408"/>
      <c r="K5" s="609"/>
      <c r="L5" s="1132"/>
      <c r="M5" s="1133"/>
      <c r="N5" s="1133"/>
      <c r="O5" s="1133"/>
      <c r="P5" s="3349"/>
      <c r="Q5" s="3350"/>
      <c r="R5" s="3355"/>
      <c r="S5" s="3356"/>
      <c r="T5" s="3355"/>
      <c r="U5" s="3356"/>
      <c r="V5" s="3340"/>
      <c r="W5" s="3340"/>
      <c r="X5" s="1814"/>
      <c r="Y5" s="3355"/>
      <c r="Z5" s="3356"/>
      <c r="AA5" s="3342"/>
      <c r="AB5" s="3342"/>
      <c r="AC5" s="3342"/>
    </row>
    <row r="6" spans="1:29" ht="15.75" thickBot="1">
      <c r="A6" s="405"/>
      <c r="B6" s="406"/>
      <c r="C6" s="3405" t="s">
        <v>2527</v>
      </c>
      <c r="D6" s="3406"/>
      <c r="E6" s="3409" t="s">
        <v>2527</v>
      </c>
      <c r="F6" s="3410"/>
      <c r="G6" s="3405" t="s">
        <v>2527</v>
      </c>
      <c r="H6" s="3406"/>
      <c r="I6" s="3405" t="s">
        <v>2527</v>
      </c>
      <c r="J6" s="3406"/>
      <c r="K6" s="609" t="s">
        <v>2528</v>
      </c>
      <c r="L6" s="1132"/>
      <c r="M6" s="1133"/>
      <c r="N6" s="1133"/>
      <c r="O6" s="1133"/>
      <c r="P6" s="3351"/>
      <c r="Q6" s="3352"/>
      <c r="R6" s="3355"/>
      <c r="S6" s="3356"/>
      <c r="T6" s="3357"/>
      <c r="U6" s="3358"/>
      <c r="V6" s="3340"/>
      <c r="W6" s="3340"/>
      <c r="X6" s="1814"/>
      <c r="Y6" s="3357"/>
      <c r="Z6" s="3358"/>
      <c r="AA6" s="3343"/>
      <c r="AB6" s="3343"/>
      <c r="AC6" s="3343"/>
    </row>
    <row r="7" spans="1:29" s="116" customFormat="1" ht="15.75" thickBot="1">
      <c r="A7" s="407" t="s">
        <v>2529</v>
      </c>
      <c r="B7" s="408"/>
      <c r="C7" s="409">
        <f>'数据-取费表'!B2</f>
        <v>43444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63" t="s">
        <v>2530</v>
      </c>
      <c r="Q7" s="3365"/>
      <c r="R7" s="769" t="s">
        <v>17</v>
      </c>
      <c r="S7" s="770">
        <f t="shared" ref="S7:S14" si="0">F7</f>
        <v>0</v>
      </c>
      <c r="T7" s="769" t="s">
        <v>17</v>
      </c>
      <c r="U7" s="770">
        <f t="shared" ref="U7:U14" si="1">H7</f>
        <v>0</v>
      </c>
      <c r="V7" s="769" t="s">
        <v>17</v>
      </c>
      <c r="W7" s="770">
        <f t="shared" ref="W7:W14" si="2">J7</f>
        <v>0</v>
      </c>
      <c r="X7" s="771"/>
      <c r="Y7" s="3363" t="s">
        <v>2530</v>
      </c>
      <c r="Z7" s="3364"/>
      <c r="AA7" s="772" t="e">
        <f>D7/F7</f>
        <v>#DIV/0!</v>
      </c>
      <c r="AB7" s="772" t="e">
        <f>D7/H7</f>
        <v>#DIV/0!</v>
      </c>
      <c r="AC7" s="772" t="e">
        <f>D7/J7</f>
        <v>#DIV/0!</v>
      </c>
    </row>
    <row r="8" spans="1:29" s="116" customFormat="1" ht="15.75" thickBot="1">
      <c r="A8" s="407" t="s">
        <v>2531</v>
      </c>
      <c r="B8" s="408"/>
      <c r="C8" s="413" t="s">
        <v>2633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63" t="s">
        <v>2533</v>
      </c>
      <c r="Q8" s="3364"/>
      <c r="R8" s="769" t="s">
        <v>17</v>
      </c>
      <c r="S8" s="770">
        <f t="shared" si="0"/>
        <v>0</v>
      </c>
      <c r="T8" s="769" t="s">
        <v>17</v>
      </c>
      <c r="U8" s="770">
        <f t="shared" si="1"/>
        <v>0</v>
      </c>
      <c r="V8" s="769" t="s">
        <v>17</v>
      </c>
      <c r="W8" s="770">
        <f t="shared" si="2"/>
        <v>0</v>
      </c>
      <c r="X8" s="771"/>
      <c r="Y8" s="3363" t="s">
        <v>2533</v>
      </c>
      <c r="Z8" s="3364"/>
      <c r="AA8" s="772" t="e">
        <f t="shared" ref="AA8:AA36" si="3">D8/F8</f>
        <v>#DIV/0!</v>
      </c>
      <c r="AB8" s="772" t="e">
        <f t="shared" ref="AB8:AB36" si="4">D8/H8</f>
        <v>#DIV/0!</v>
      </c>
      <c r="AC8" s="772" t="e">
        <f t="shared" ref="AC8:AC36" si="5">D8/J8</f>
        <v>#DIV/0!</v>
      </c>
    </row>
    <row r="9" spans="1:29" s="116" customFormat="1">
      <c r="A9" s="67" t="s">
        <v>2534</v>
      </c>
      <c r="B9" s="639" t="s">
        <v>2535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34" t="s">
        <v>2536</v>
      </c>
      <c r="Q9" s="1796" t="str">
        <f t="shared" ref="Q9:Q14" si="6">B9</f>
        <v>用途</v>
      </c>
      <c r="R9" s="769" t="s">
        <v>17</v>
      </c>
      <c r="S9" s="770">
        <f t="shared" si="0"/>
        <v>100</v>
      </c>
      <c r="T9" s="769" t="s">
        <v>17</v>
      </c>
      <c r="U9" s="770">
        <f t="shared" si="1"/>
        <v>100</v>
      </c>
      <c r="V9" s="769" t="s">
        <v>17</v>
      </c>
      <c r="W9" s="770">
        <f t="shared" si="2"/>
        <v>100</v>
      </c>
      <c r="X9" s="771"/>
      <c r="Y9" s="3128" t="s">
        <v>2537</v>
      </c>
      <c r="Z9" s="55" t="str">
        <f t="shared" ref="Z9:Z14" si="7">Q9</f>
        <v>用途</v>
      </c>
      <c r="AA9" s="772">
        <f t="shared" si="3"/>
        <v>1</v>
      </c>
      <c r="AB9" s="772">
        <f t="shared" si="4"/>
        <v>1</v>
      </c>
      <c r="AC9" s="772">
        <f t="shared" si="5"/>
        <v>1</v>
      </c>
    </row>
    <row r="10" spans="1:29" s="426" customFormat="1" ht="27">
      <c r="A10" s="640"/>
      <c r="B10" s="641" t="s">
        <v>2538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34"/>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34"/>
      <c r="Q11" s="1796">
        <f t="shared" si="6"/>
        <v>111</v>
      </c>
      <c r="R11" s="769" t="s">
        <v>17</v>
      </c>
      <c r="S11" s="770">
        <f t="shared" si="0"/>
        <v>100</v>
      </c>
      <c r="T11" s="769" t="s">
        <v>17</v>
      </c>
      <c r="U11" s="770">
        <f t="shared" si="1"/>
        <v>100</v>
      </c>
      <c r="V11" s="769" t="s">
        <v>17</v>
      </c>
      <c r="W11" s="770">
        <f t="shared" si="2"/>
        <v>100</v>
      </c>
      <c r="X11" s="771"/>
      <c r="Y11" s="312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34"/>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34"/>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772">
        <f t="shared" si="5"/>
        <v>1</v>
      </c>
    </row>
    <row r="14" spans="1:29" ht="15">
      <c r="A14" s="400" t="s">
        <v>2540</v>
      </c>
      <c r="B14" s="628" t="s">
        <v>2690</v>
      </c>
      <c r="C14" s="2692"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36" t="s">
        <v>2541</v>
      </c>
      <c r="Q14" s="1811" t="str">
        <f t="shared" si="6"/>
        <v>交通便捷度</v>
      </c>
      <c r="R14" s="773" t="s">
        <v>17</v>
      </c>
      <c r="S14" s="774">
        <f t="shared" si="0"/>
        <v>100</v>
      </c>
      <c r="T14" s="773" t="s">
        <v>17</v>
      </c>
      <c r="U14" s="774">
        <f t="shared" si="1"/>
        <v>100</v>
      </c>
      <c r="V14" s="773" t="s">
        <v>17</v>
      </c>
      <c r="W14" s="774">
        <f t="shared" si="2"/>
        <v>100</v>
      </c>
      <c r="X14" s="1814"/>
      <c r="Y14" s="3336" t="s">
        <v>2541</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337"/>
      <c r="Q15" s="1811"/>
      <c r="R15" s="773"/>
      <c r="S15" s="774"/>
      <c r="T15" s="773"/>
      <c r="U15" s="774"/>
      <c r="V15" s="773"/>
      <c r="W15" s="774"/>
      <c r="X15" s="1814"/>
      <c r="Y15" s="3337"/>
      <c r="Z15" s="1815"/>
      <c r="AA15" s="1812">
        <v>1</v>
      </c>
      <c r="AB15" s="1812">
        <v>1</v>
      </c>
      <c r="AC15" s="1812">
        <v>1</v>
      </c>
    </row>
    <row r="16" spans="1:29" ht="15">
      <c r="A16" s="403"/>
      <c r="B16" s="630" t="s">
        <v>2669</v>
      </c>
      <c r="C16" s="2606"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37"/>
      <c r="Q16" s="1811" t="str">
        <f>B16</f>
        <v>公共配套设施</v>
      </c>
      <c r="R16" s="773" t="s">
        <v>17</v>
      </c>
      <c r="S16" s="774">
        <f>F16</f>
        <v>100</v>
      </c>
      <c r="T16" s="773" t="s">
        <v>17</v>
      </c>
      <c r="U16" s="774">
        <f>H16</f>
        <v>100</v>
      </c>
      <c r="V16" s="773" t="s">
        <v>17</v>
      </c>
      <c r="W16" s="774">
        <f>J16</f>
        <v>100</v>
      </c>
      <c r="X16" s="1814"/>
      <c r="Y16" s="3337"/>
      <c r="Z16" s="1815" t="str">
        <f>Q16</f>
        <v>公共配套设施</v>
      </c>
      <c r="AA16" s="1812">
        <f t="shared" si="3"/>
        <v>1</v>
      </c>
      <c r="AB16" s="1812">
        <f t="shared" si="4"/>
        <v>1</v>
      </c>
      <c r="AC16" s="1812">
        <f t="shared" si="5"/>
        <v>1</v>
      </c>
    </row>
    <row r="17" spans="1:29" ht="15">
      <c r="A17" s="403"/>
      <c r="B17" s="631"/>
      <c r="C17" s="2607"/>
      <c r="D17" s="447"/>
      <c r="E17" s="446"/>
      <c r="F17" s="448"/>
      <c r="G17" s="446"/>
      <c r="H17" s="447"/>
      <c r="I17" s="446"/>
      <c r="J17" s="447"/>
      <c r="K17" s="614"/>
      <c r="L17" s="1142"/>
      <c r="M17" s="1133"/>
      <c r="N17" s="1133"/>
      <c r="O17" s="1133"/>
      <c r="P17" s="3337"/>
      <c r="Q17" s="1811"/>
      <c r="R17" s="773"/>
      <c r="S17" s="774"/>
      <c r="T17" s="773"/>
      <c r="U17" s="774"/>
      <c r="V17" s="773"/>
      <c r="W17" s="774"/>
      <c r="X17" s="1814"/>
      <c r="Y17" s="3337"/>
      <c r="Z17" s="1815"/>
      <c r="AA17" s="1812">
        <v>1</v>
      </c>
      <c r="AB17" s="1812">
        <v>1</v>
      </c>
      <c r="AC17" s="1812">
        <v>1</v>
      </c>
    </row>
    <row r="18" spans="1:29" ht="15">
      <c r="A18" s="403"/>
      <c r="B18" s="632" t="s">
        <v>2670</v>
      </c>
      <c r="C18" s="260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37"/>
      <c r="Q18" s="1811" t="str">
        <f>B18</f>
        <v>基础设施水平</v>
      </c>
      <c r="R18" s="773" t="s">
        <v>17</v>
      </c>
      <c r="S18" s="774">
        <f>F18</f>
        <v>100</v>
      </c>
      <c r="T18" s="773" t="s">
        <v>17</v>
      </c>
      <c r="U18" s="774">
        <f>H18</f>
        <v>100</v>
      </c>
      <c r="V18" s="773" t="s">
        <v>17</v>
      </c>
      <c r="W18" s="774">
        <f>J18</f>
        <v>100</v>
      </c>
      <c r="X18" s="1814"/>
      <c r="Y18" s="3337"/>
      <c r="Z18" s="1815" t="str">
        <f>Q18</f>
        <v>基础设施水平</v>
      </c>
      <c r="AA18" s="1812">
        <f t="shared" ref="AA18" si="8">D18/F18</f>
        <v>1</v>
      </c>
      <c r="AB18" s="1812">
        <f t="shared" ref="AB18" si="9">D18/H18</f>
        <v>1</v>
      </c>
      <c r="AC18" s="1812">
        <f t="shared" ref="AC18" si="10">D18/J18</f>
        <v>1</v>
      </c>
    </row>
    <row r="19" spans="1:29" ht="15">
      <c r="A19" s="403"/>
      <c r="B19" s="632"/>
      <c r="C19" s="2607"/>
      <c r="D19" s="449"/>
      <c r="E19" s="2607"/>
      <c r="F19" s="452"/>
      <c r="G19" s="2607"/>
      <c r="H19" s="447"/>
      <c r="I19" s="446"/>
      <c r="J19" s="447"/>
      <c r="K19" s="1385"/>
      <c r="L19" s="1142"/>
      <c r="M19" s="1133"/>
      <c r="N19" s="1133"/>
      <c r="O19" s="1133"/>
      <c r="P19" s="3337"/>
      <c r="Q19" s="1811"/>
      <c r="R19" s="773"/>
      <c r="S19" s="774"/>
      <c r="T19" s="773"/>
      <c r="U19" s="774"/>
      <c r="V19" s="773"/>
      <c r="W19" s="774"/>
      <c r="X19" s="1814"/>
      <c r="Y19" s="3337"/>
      <c r="Z19" s="1815"/>
      <c r="AA19" s="1812">
        <v>1</v>
      </c>
      <c r="AB19" s="1812">
        <v>1</v>
      </c>
      <c r="AC19" s="1812">
        <v>1</v>
      </c>
    </row>
    <row r="20" spans="1:29" ht="15">
      <c r="A20" s="403"/>
      <c r="B20" s="630" t="s">
        <v>2691</v>
      </c>
      <c r="C20" s="2606"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37"/>
      <c r="Q20" s="1811" t="str">
        <f>B20</f>
        <v>自然及人文环境</v>
      </c>
      <c r="R20" s="773" t="s">
        <v>17</v>
      </c>
      <c r="S20" s="774">
        <f>F20</f>
        <v>100</v>
      </c>
      <c r="T20" s="773" t="s">
        <v>17</v>
      </c>
      <c r="U20" s="774">
        <f>H20</f>
        <v>100</v>
      </c>
      <c r="V20" s="773" t="s">
        <v>17</v>
      </c>
      <c r="W20" s="774">
        <f>J20</f>
        <v>100</v>
      </c>
      <c r="X20" s="1814"/>
      <c r="Y20" s="333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337"/>
      <c r="Q21" s="1811"/>
      <c r="R21" s="773"/>
      <c r="S21" s="774"/>
      <c r="T21" s="773"/>
      <c r="U21" s="774"/>
      <c r="V21" s="773"/>
      <c r="W21" s="774"/>
      <c r="X21" s="1814"/>
      <c r="Y21" s="3337"/>
      <c r="Z21" s="1815"/>
      <c r="AA21" s="1812">
        <v>1</v>
      </c>
      <c r="AB21" s="1812">
        <v>1</v>
      </c>
      <c r="AC21" s="1812">
        <v>1</v>
      </c>
    </row>
    <row r="22" spans="1:29" ht="15">
      <c r="A22" s="403"/>
      <c r="B22" s="630" t="s">
        <v>2692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37"/>
      <c r="Q22" s="1811" t="str">
        <f>B22</f>
        <v>楼层</v>
      </c>
      <c r="R22" s="773" t="s">
        <v>17</v>
      </c>
      <c r="S22" s="774">
        <f>F22</f>
        <v>100</v>
      </c>
      <c r="T22" s="773" t="s">
        <v>17</v>
      </c>
      <c r="U22" s="774">
        <f>H22</f>
        <v>100</v>
      </c>
      <c r="V22" s="773" t="s">
        <v>17</v>
      </c>
      <c r="W22" s="774">
        <f>J22</f>
        <v>100</v>
      </c>
      <c r="X22" s="1814"/>
      <c r="Y22" s="333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37"/>
      <c r="Q23" s="1811">
        <f>B23</f>
        <v>111</v>
      </c>
      <c r="R23" s="773" t="s">
        <v>17</v>
      </c>
      <c r="S23" s="774">
        <f>F23</f>
        <v>100</v>
      </c>
      <c r="T23" s="773" t="s">
        <v>17</v>
      </c>
      <c r="U23" s="774">
        <f>H23</f>
        <v>100</v>
      </c>
      <c r="V23" s="773" t="s">
        <v>17</v>
      </c>
      <c r="W23" s="774">
        <f>J23</f>
        <v>100</v>
      </c>
      <c r="X23" s="1814"/>
      <c r="Y23" s="333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37"/>
      <c r="Q24" s="1811">
        <f t="shared" ref="Q24:Q36" si="11">B24</f>
        <v>111</v>
      </c>
      <c r="R24" s="773" t="s">
        <v>17</v>
      </c>
      <c r="S24" s="774">
        <f>F24</f>
        <v>100</v>
      </c>
      <c r="T24" s="773" t="s">
        <v>17</v>
      </c>
      <c r="U24" s="774">
        <f>H24</f>
        <v>100</v>
      </c>
      <c r="V24" s="773" t="s">
        <v>17</v>
      </c>
      <c r="W24" s="774">
        <f>J24</f>
        <v>100</v>
      </c>
      <c r="X24" s="1814"/>
      <c r="Y24" s="3337"/>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37"/>
      <c r="Q25" s="1796">
        <f t="shared" si="11"/>
        <v>111</v>
      </c>
      <c r="R25" s="769" t="s">
        <v>17</v>
      </c>
      <c r="S25" s="770">
        <f>F25</f>
        <v>100</v>
      </c>
      <c r="T25" s="769" t="s">
        <v>17</v>
      </c>
      <c r="U25" s="770">
        <f>H25</f>
        <v>100</v>
      </c>
      <c r="V25" s="769" t="s">
        <v>17</v>
      </c>
      <c r="W25" s="770">
        <f>J25</f>
        <v>100</v>
      </c>
      <c r="X25" s="771"/>
      <c r="Y25" s="3337"/>
      <c r="Z25" s="55">
        <f>Q25</f>
        <v>111</v>
      </c>
      <c r="AA25" s="1812">
        <f>D25/F25</f>
        <v>1</v>
      </c>
      <c r="AB25" s="1812">
        <f>D25/H25</f>
        <v>1</v>
      </c>
      <c r="AC25" s="1812">
        <f>D25/J25</f>
        <v>1</v>
      </c>
    </row>
    <row r="26" spans="1:29" ht="15">
      <c r="A26" s="651" t="s">
        <v>2544</v>
      </c>
      <c r="B26" s="69" t="s">
        <v>2693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38" t="s">
        <v>2546</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339" t="s">
        <v>2546</v>
      </c>
      <c r="Z26" s="1815" t="str">
        <f t="shared" ref="Z26:Z36" si="15">Q26</f>
        <v>配套类型</v>
      </c>
      <c r="AA26" s="1812">
        <f t="shared" si="3"/>
        <v>1</v>
      </c>
      <c r="AB26" s="1812">
        <f t="shared" si="4"/>
        <v>1</v>
      </c>
      <c r="AC26" s="1812">
        <f t="shared" si="5"/>
        <v>1</v>
      </c>
    </row>
    <row r="27" spans="1:29" s="470" customFormat="1" ht="15">
      <c r="A27" s="652"/>
      <c r="B27" s="653" t="s">
        <v>2694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39"/>
      <c r="Q27" s="775" t="str">
        <f t="shared" si="11"/>
        <v>项目停车位配比</v>
      </c>
      <c r="R27" s="776" t="s">
        <v>17</v>
      </c>
      <c r="S27" s="777">
        <f t="shared" si="12"/>
        <v>100</v>
      </c>
      <c r="T27" s="776" t="s">
        <v>17</v>
      </c>
      <c r="U27" s="777">
        <f t="shared" si="13"/>
        <v>100</v>
      </c>
      <c r="V27" s="776" t="s">
        <v>17</v>
      </c>
      <c r="W27" s="777">
        <f t="shared" si="14"/>
        <v>100</v>
      </c>
      <c r="X27" s="778"/>
      <c r="Y27" s="3339"/>
      <c r="Z27" s="779" t="str">
        <f t="shared" si="15"/>
        <v>项目停车位配比</v>
      </c>
      <c r="AA27" s="1812">
        <f t="shared" si="3"/>
        <v>1</v>
      </c>
      <c r="AB27" s="1812">
        <f t="shared" si="4"/>
        <v>1</v>
      </c>
      <c r="AC27" s="1812">
        <f t="shared" si="5"/>
        <v>1</v>
      </c>
    </row>
    <row r="28" spans="1:29" ht="15">
      <c r="A28" s="655"/>
      <c r="B28" s="653" t="s">
        <v>2695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39"/>
      <c r="Q28" s="1811" t="str">
        <f t="shared" si="11"/>
        <v>公共部分装修</v>
      </c>
      <c r="R28" s="773" t="s">
        <v>17</v>
      </c>
      <c r="S28" s="774">
        <f t="shared" si="12"/>
        <v>100</v>
      </c>
      <c r="T28" s="773" t="s">
        <v>17</v>
      </c>
      <c r="U28" s="774">
        <f t="shared" si="13"/>
        <v>100</v>
      </c>
      <c r="V28" s="773" t="s">
        <v>17</v>
      </c>
      <c r="W28" s="774">
        <f t="shared" si="14"/>
        <v>100</v>
      </c>
      <c r="X28" s="1814"/>
      <c r="Y28" s="3339"/>
      <c r="Z28" s="1815" t="str">
        <f t="shared" si="15"/>
        <v>公共部分装修</v>
      </c>
      <c r="AA28" s="1812">
        <f t="shared" si="3"/>
        <v>1</v>
      </c>
      <c r="AB28" s="1812">
        <f t="shared" si="4"/>
        <v>1</v>
      </c>
      <c r="AC28" s="1812">
        <f t="shared" si="5"/>
        <v>1</v>
      </c>
    </row>
    <row r="29" spans="1:29" ht="15">
      <c r="A29" s="655"/>
      <c r="B29" s="653" t="s">
        <v>2696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39"/>
      <c r="Q29" s="1811" t="str">
        <f t="shared" si="11"/>
        <v>成新率</v>
      </c>
      <c r="R29" s="773" t="s">
        <v>17</v>
      </c>
      <c r="S29" s="774" t="e">
        <f t="shared" si="12"/>
        <v>#N/A</v>
      </c>
      <c r="T29" s="773" t="s">
        <v>17</v>
      </c>
      <c r="U29" s="774" t="e">
        <f t="shared" si="13"/>
        <v>#N/A</v>
      </c>
      <c r="V29" s="773" t="s">
        <v>17</v>
      </c>
      <c r="W29" s="774" t="e">
        <f t="shared" si="14"/>
        <v>#N/A</v>
      </c>
      <c r="X29" s="1814"/>
      <c r="Y29" s="3339"/>
      <c r="Z29" s="1815" t="str">
        <f t="shared" si="15"/>
        <v>成新率</v>
      </c>
      <c r="AA29" s="1812" t="e">
        <f t="shared" si="3"/>
        <v>#N/A</v>
      </c>
      <c r="AB29" s="1812" t="e">
        <f t="shared" si="4"/>
        <v>#N/A</v>
      </c>
      <c r="AC29" s="1812" t="e">
        <f t="shared" si="5"/>
        <v>#N/A</v>
      </c>
    </row>
    <row r="30" spans="1:29" ht="15">
      <c r="A30" s="655"/>
      <c r="B30" s="653" t="s">
        <v>2697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39"/>
      <c r="Q30" s="1811" t="str">
        <f t="shared" si="11"/>
        <v>物业等级</v>
      </c>
      <c r="R30" s="773" t="s">
        <v>17</v>
      </c>
      <c r="S30" s="774">
        <f t="shared" si="12"/>
        <v>100</v>
      </c>
      <c r="T30" s="773" t="s">
        <v>17</v>
      </c>
      <c r="U30" s="774">
        <f t="shared" si="13"/>
        <v>100</v>
      </c>
      <c r="V30" s="773" t="s">
        <v>17</v>
      </c>
      <c r="W30" s="774">
        <f t="shared" si="14"/>
        <v>100</v>
      </c>
      <c r="X30" s="1814"/>
      <c r="Y30" s="3339"/>
      <c r="Z30" s="1815" t="str">
        <f t="shared" si="15"/>
        <v>物业等级</v>
      </c>
      <c r="AA30" s="1812">
        <f t="shared" si="3"/>
        <v>1</v>
      </c>
      <c r="AB30" s="1812">
        <f t="shared" si="4"/>
        <v>1</v>
      </c>
      <c r="AC30" s="1812">
        <f t="shared" si="5"/>
        <v>1</v>
      </c>
    </row>
    <row r="31" spans="1:29" s="116" customFormat="1" ht="15">
      <c r="A31" s="657"/>
      <c r="B31" s="653" t="s">
        <v>2698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39"/>
      <c r="Q31" s="1796" t="str">
        <f t="shared" si="11"/>
        <v>停车位面积</v>
      </c>
      <c r="R31" s="769" t="s">
        <v>17</v>
      </c>
      <c r="S31" s="770" t="e">
        <f t="shared" si="12"/>
        <v>#N/A</v>
      </c>
      <c r="T31" s="769" t="s">
        <v>17</v>
      </c>
      <c r="U31" s="770" t="e">
        <f t="shared" si="13"/>
        <v>#N/A</v>
      </c>
      <c r="V31" s="769" t="s">
        <v>17</v>
      </c>
      <c r="W31" s="770" t="e">
        <f t="shared" si="14"/>
        <v>#N/A</v>
      </c>
      <c r="X31" s="771"/>
      <c r="Y31" s="3339"/>
      <c r="Z31" s="55" t="str">
        <f t="shared" si="15"/>
        <v>停车位面积</v>
      </c>
      <c r="AA31" s="772" t="e">
        <f t="shared" si="3"/>
        <v>#N/A</v>
      </c>
      <c r="AB31" s="772" t="e">
        <f t="shared" si="4"/>
        <v>#N/A</v>
      </c>
      <c r="AC31" s="772" t="e">
        <f t="shared" si="5"/>
        <v>#N/A</v>
      </c>
    </row>
    <row r="32" spans="1:29" ht="15">
      <c r="A32" s="655"/>
      <c r="B32" s="653" t="s">
        <v>2699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39" t="s">
        <v>2546</v>
      </c>
      <c r="Q32" s="1811" t="str">
        <f t="shared" si="11"/>
        <v>车位类型</v>
      </c>
      <c r="R32" s="773" t="s">
        <v>17</v>
      </c>
      <c r="S32" s="774">
        <f t="shared" si="12"/>
        <v>100</v>
      </c>
      <c r="T32" s="773" t="s">
        <v>17</v>
      </c>
      <c r="U32" s="774">
        <f t="shared" si="13"/>
        <v>100</v>
      </c>
      <c r="V32" s="773" t="s">
        <v>17</v>
      </c>
      <c r="W32" s="774">
        <f t="shared" si="14"/>
        <v>100</v>
      </c>
      <c r="X32" s="1814"/>
      <c r="Y32" s="3339" t="s">
        <v>2546</v>
      </c>
      <c r="Z32" s="1815" t="str">
        <f t="shared" si="15"/>
        <v>车位类型</v>
      </c>
      <c r="AA32" s="1812">
        <f t="shared" si="3"/>
        <v>1</v>
      </c>
      <c r="AB32" s="1812">
        <f t="shared" si="4"/>
        <v>1</v>
      </c>
      <c r="AC32" s="1812">
        <f t="shared" si="5"/>
        <v>1</v>
      </c>
    </row>
    <row r="33" spans="1:29" ht="15">
      <c r="A33" s="655"/>
      <c r="B33" s="653" t="s">
        <v>2700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39"/>
      <c r="Q33" s="1811" t="str">
        <f t="shared" si="11"/>
        <v>是否直接入户</v>
      </c>
      <c r="R33" s="773" t="s">
        <v>17</v>
      </c>
      <c r="S33" s="774">
        <f t="shared" si="12"/>
        <v>100</v>
      </c>
      <c r="T33" s="773" t="s">
        <v>17</v>
      </c>
      <c r="U33" s="774">
        <f t="shared" si="13"/>
        <v>100</v>
      </c>
      <c r="V33" s="773" t="s">
        <v>17</v>
      </c>
      <c r="W33" s="774">
        <f t="shared" si="14"/>
        <v>100</v>
      </c>
      <c r="X33" s="1814"/>
      <c r="Y33" s="333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39"/>
      <c r="Q34" s="1811">
        <f t="shared" si="11"/>
        <v>111</v>
      </c>
      <c r="R34" s="773" t="s">
        <v>17</v>
      </c>
      <c r="S34" s="774">
        <f t="shared" si="12"/>
        <v>100</v>
      </c>
      <c r="T34" s="773" t="s">
        <v>17</v>
      </c>
      <c r="U34" s="774">
        <f t="shared" si="13"/>
        <v>100</v>
      </c>
      <c r="V34" s="773" t="s">
        <v>17</v>
      </c>
      <c r="W34" s="774">
        <f t="shared" si="14"/>
        <v>100</v>
      </c>
      <c r="X34" s="1814"/>
      <c r="Y34" s="333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39"/>
      <c r="Q35" s="775">
        <f t="shared" si="11"/>
        <v>111</v>
      </c>
      <c r="R35" s="776" t="s">
        <v>17</v>
      </c>
      <c r="S35" s="777">
        <f t="shared" si="12"/>
        <v>100</v>
      </c>
      <c r="T35" s="776" t="s">
        <v>17</v>
      </c>
      <c r="U35" s="777">
        <f t="shared" si="13"/>
        <v>100</v>
      </c>
      <c r="V35" s="776" t="s">
        <v>17</v>
      </c>
      <c r="W35" s="777">
        <f t="shared" si="14"/>
        <v>100</v>
      </c>
      <c r="X35" s="778"/>
      <c r="Y35" s="333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39"/>
      <c r="Q36" s="1811">
        <f t="shared" si="11"/>
        <v>111</v>
      </c>
      <c r="R36" s="773" t="s">
        <v>17</v>
      </c>
      <c r="S36" s="774">
        <f t="shared" si="12"/>
        <v>100</v>
      </c>
      <c r="T36" s="773" t="s">
        <v>17</v>
      </c>
      <c r="U36" s="774">
        <f t="shared" si="13"/>
        <v>100</v>
      </c>
      <c r="V36" s="773" t="s">
        <v>17</v>
      </c>
      <c r="W36" s="774">
        <f t="shared" si="14"/>
        <v>100</v>
      </c>
      <c r="X36" s="1814"/>
      <c r="Y36" s="3339"/>
      <c r="Z36" s="1815">
        <f t="shared" si="15"/>
        <v>111</v>
      </c>
      <c r="AA36" s="1812">
        <f t="shared" si="3"/>
        <v>1</v>
      </c>
      <c r="AB36" s="1812">
        <f t="shared" si="4"/>
        <v>1</v>
      </c>
      <c r="AC36" s="1812">
        <f t="shared" si="5"/>
        <v>1</v>
      </c>
    </row>
    <row r="37" spans="1:29" ht="15">
      <c r="A37" s="478" t="s">
        <v>2701</v>
      </c>
      <c r="B37" s="2694" t="s">
        <v>2702</v>
      </c>
      <c r="C37" s="1409" t="s">
        <v>1</v>
      </c>
      <c r="D37" s="1410"/>
      <c r="E37" s="1411"/>
      <c r="F37" s="1412"/>
      <c r="G37" s="1413"/>
      <c r="H37" s="1414"/>
      <c r="I37" s="1411"/>
      <c r="J37" s="1414"/>
      <c r="K37" s="618"/>
      <c r="L37" s="1145"/>
      <c r="M37" s="1146"/>
      <c r="N37" s="1133"/>
      <c r="O37" s="1146"/>
      <c r="P37" s="3334" t="str">
        <f>A37</f>
        <v>成交单价</v>
      </c>
      <c r="Q37" s="3334"/>
      <c r="R37" s="3398">
        <f>E37</f>
        <v>0</v>
      </c>
      <c r="S37" s="3398"/>
      <c r="T37" s="3398">
        <f>G37</f>
        <v>0</v>
      </c>
      <c r="U37" s="3398"/>
      <c r="V37" s="3398">
        <f>I37</f>
        <v>0</v>
      </c>
      <c r="W37" s="3398"/>
      <c r="X37" s="758"/>
      <c r="Y37" s="780"/>
      <c r="Z37" s="758"/>
      <c r="AA37" s="758"/>
      <c r="AB37" s="758"/>
      <c r="AC37" s="758"/>
    </row>
    <row r="38" spans="1:29" ht="15.75" thickBot="1">
      <c r="A38" s="485" t="s">
        <v>2703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34" t="str">
        <f>A38</f>
        <v>比较价值（元/平方米）</v>
      </c>
      <c r="Q38" s="3334"/>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758"/>
      <c r="Y38" s="758"/>
      <c r="Z38" s="758"/>
      <c r="AA38" s="758"/>
      <c r="AB38" s="758"/>
      <c r="AC38" s="758"/>
    </row>
    <row r="39" spans="1:29" ht="15.75" thickBot="1">
      <c r="A39" s="491" t="s">
        <v>2704</v>
      </c>
      <c r="B39" s="492"/>
      <c r="C39" s="1419" t="e">
        <f>R39</f>
        <v>#DIV/0!</v>
      </c>
      <c r="D39" s="1419"/>
      <c r="E39" s="1419"/>
      <c r="F39" s="1419"/>
      <c r="G39" s="1419"/>
      <c r="H39" s="1419"/>
      <c r="I39" s="1419"/>
      <c r="J39" s="1419"/>
      <c r="K39" s="620"/>
      <c r="L39" s="1145"/>
      <c r="M39" s="1146"/>
      <c r="N39" s="1146"/>
      <c r="O39" s="1146"/>
      <c r="P39" s="3328" t="str">
        <f>A39</f>
        <v>估价对象XX用房的比较价值（楼面单价，元/平方米）</v>
      </c>
      <c r="Q39" s="3329"/>
      <c r="R39" s="3397" t="e">
        <f>IF(F1="售价",ROUND(AVERAGE(R38:V38),0),ROUND(AVERAGE(R38:V38),1))</f>
        <v>#DIV/0!</v>
      </c>
      <c r="S39" s="3397"/>
      <c r="T39" s="3397"/>
      <c r="U39" s="3397"/>
      <c r="V39" s="3397"/>
      <c r="W39" s="339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2706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2707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2708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2709</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2566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2531</v>
      </c>
      <c r="B51" s="509"/>
      <c r="C51" s="521" t="s">
        <v>2633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2569</v>
      </c>
      <c r="B53" s="527" t="s">
        <v>2535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2538</v>
      </c>
      <c r="C55" s="538" t="s">
        <v>2570</v>
      </c>
      <c r="D55" s="538" t="s">
        <v>2571</v>
      </c>
      <c r="E55" s="538" t="s">
        <v>2572</v>
      </c>
      <c r="F55" s="538" t="s">
        <v>2573</v>
      </c>
      <c r="G55" s="538" t="s">
        <v>2574</v>
      </c>
      <c r="H55" s="538" t="s">
        <v>2575</v>
      </c>
      <c r="I55" s="538" t="s">
        <v>2576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2540</v>
      </c>
      <c r="B63" s="527" t="s">
        <v>2583</v>
      </c>
      <c r="C63" s="572" t="s">
        <v>2578</v>
      </c>
      <c r="D63" s="572" t="s">
        <v>2579</v>
      </c>
      <c r="E63" s="572" t="s">
        <v>2580</v>
      </c>
      <c r="F63" s="572" t="s">
        <v>2581</v>
      </c>
      <c r="G63" s="572" t="s">
        <v>2582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2584</v>
      </c>
      <c r="C65" s="577" t="s">
        <v>2578</v>
      </c>
      <c r="D65" s="577" t="s">
        <v>2579</v>
      </c>
      <c r="E65" s="577" t="s">
        <v>2580</v>
      </c>
      <c r="F65" s="577" t="s">
        <v>2581</v>
      </c>
      <c r="G65" s="577" t="s">
        <v>2582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2670</v>
      </c>
      <c r="C67" s="659" t="s">
        <v>2656</v>
      </c>
      <c r="D67" s="659" t="s">
        <v>2657</v>
      </c>
      <c r="E67" s="659" t="s">
        <v>2658</v>
      </c>
      <c r="F67" s="659" t="s">
        <v>2659</v>
      </c>
      <c r="G67" s="659" t="s">
        <v>2660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2590</v>
      </c>
      <c r="C69" s="577" t="s">
        <v>2578</v>
      </c>
      <c r="D69" s="577" t="s">
        <v>2579</v>
      </c>
      <c r="E69" s="577" t="s">
        <v>2580</v>
      </c>
      <c r="F69" s="577" t="s">
        <v>2581</v>
      </c>
      <c r="G69" s="577" t="s">
        <v>2582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2544</v>
      </c>
      <c r="B79" s="527" t="s">
        <v>2711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2597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2716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2717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20" sqref="I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2688</v>
      </c>
      <c r="B1" s="1620"/>
      <c r="C1" s="1621" t="s">
        <v>2511</v>
      </c>
      <c r="D1" s="1622"/>
      <c r="E1" s="1631"/>
      <c r="F1" s="2583"/>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2311</v>
      </c>
      <c r="B2" s="1420" t="e">
        <f ca="1">IF(C2="——",ROUND(C37*D3/10000,0),ROUND(C37*D3/10000,0)-D2)</f>
        <v>#DIV/0!</v>
      </c>
      <c r="C2" s="2585"/>
      <c r="D2" s="1126" t="e">
        <f ca="1">SUMIF(INDIRECT("'"&amp;F2&amp;"'"&amp;"!A:A"),"承租人权益价值",INDIRECT("'"&amp;F2&amp;"'"&amp;"!c:c"))</f>
        <v>#REF!</v>
      </c>
      <c r="E2" s="2586" t="s">
        <v>2312</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 ca="1">IF(C2="——",C37,ROUND(B2*10000/D3,0))</f>
        <v>#DIV/0!</v>
      </c>
      <c r="C3" s="399" t="s">
        <v>2625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2" t="s">
        <v>2629</v>
      </c>
      <c r="AC4" s="3341" t="s">
        <v>2630</v>
      </c>
    </row>
    <row r="5" spans="1:29" ht="15">
      <c r="A5" s="403"/>
      <c r="B5" s="404"/>
      <c r="C5" s="3407" t="s">
        <v>2523</v>
      </c>
      <c r="D5" s="3408"/>
      <c r="E5" s="3411" t="s">
        <v>2524</v>
      </c>
      <c r="F5" s="3412"/>
      <c r="G5" s="3407" t="s">
        <v>2525</v>
      </c>
      <c r="H5" s="3408"/>
      <c r="I5" s="3407" t="s">
        <v>2526</v>
      </c>
      <c r="J5" s="3408"/>
      <c r="K5" s="609"/>
      <c r="L5" s="1132"/>
      <c r="M5" s="1133"/>
      <c r="N5" s="1133"/>
      <c r="O5" s="1133"/>
      <c r="P5" s="3349"/>
      <c r="Q5" s="3350"/>
      <c r="R5" s="3355"/>
      <c r="S5" s="3356"/>
      <c r="T5" s="3355"/>
      <c r="U5" s="3356"/>
      <c r="V5" s="3340"/>
      <c r="W5" s="3340"/>
      <c r="X5" s="1814"/>
      <c r="Y5" s="3355"/>
      <c r="Z5" s="3356"/>
      <c r="AA5" s="3342"/>
      <c r="AB5" s="3342"/>
      <c r="AC5" s="3342"/>
    </row>
    <row r="6" spans="1:29" ht="15.75" thickBot="1">
      <c r="A6" s="405"/>
      <c r="B6" s="406"/>
      <c r="C6" s="3405" t="s">
        <v>2527</v>
      </c>
      <c r="D6" s="3406"/>
      <c r="E6" s="3409" t="s">
        <v>2527</v>
      </c>
      <c r="F6" s="3410"/>
      <c r="G6" s="3405" t="s">
        <v>2527</v>
      </c>
      <c r="H6" s="3406"/>
      <c r="I6" s="3405" t="s">
        <v>2527</v>
      </c>
      <c r="J6" s="3406"/>
      <c r="K6" s="609" t="s">
        <v>2528</v>
      </c>
      <c r="L6" s="1132"/>
      <c r="M6" s="1133"/>
      <c r="N6" s="1133"/>
      <c r="O6" s="1133"/>
      <c r="P6" s="3351"/>
      <c r="Q6" s="3352"/>
      <c r="R6" s="3355"/>
      <c r="S6" s="3356"/>
      <c r="T6" s="3357"/>
      <c r="U6" s="3358"/>
      <c r="V6" s="3340"/>
      <c r="W6" s="3340"/>
      <c r="X6" s="1814"/>
      <c r="Y6" s="3357"/>
      <c r="Z6" s="3358"/>
      <c r="AA6" s="3343"/>
      <c r="AB6" s="3343"/>
      <c r="AC6" s="3343"/>
    </row>
    <row r="7" spans="1:29" s="116" customFormat="1" ht="15.75" thickBot="1">
      <c r="A7" s="407" t="s">
        <v>2529</v>
      </c>
      <c r="B7" s="408"/>
      <c r="C7" s="409">
        <f>'数据-取费表'!B2</f>
        <v>43444</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363" t="s">
        <v>2530</v>
      </c>
      <c r="Q7" s="3365"/>
      <c r="R7" s="769" t="s">
        <v>17</v>
      </c>
      <c r="S7" s="770">
        <f t="shared" ref="S7:S14" si="0">F7</f>
        <v>0</v>
      </c>
      <c r="T7" s="769" t="s">
        <v>17</v>
      </c>
      <c r="U7" s="770">
        <f t="shared" ref="U7:U14" si="1">H7</f>
        <v>0</v>
      </c>
      <c r="V7" s="769" t="s">
        <v>17</v>
      </c>
      <c r="W7" s="770">
        <f t="shared" ref="W7:W14" si="2">J7</f>
        <v>0</v>
      </c>
      <c r="X7" s="771"/>
      <c r="Y7" s="3363" t="s">
        <v>2530</v>
      </c>
      <c r="Z7" s="3364"/>
      <c r="AA7" s="772" t="e">
        <f>D7/F7</f>
        <v>#DIV/0!</v>
      </c>
      <c r="AB7" s="772" t="e">
        <f>D7/H7</f>
        <v>#DIV/0!</v>
      </c>
      <c r="AC7" s="772" t="e">
        <f>D7/J7</f>
        <v>#DIV/0!</v>
      </c>
    </row>
    <row r="8" spans="1:29" s="116" customFormat="1" ht="15.75" thickBot="1">
      <c r="A8" s="407" t="s">
        <v>2531</v>
      </c>
      <c r="B8" s="408"/>
      <c r="C8" s="413" t="s">
        <v>2633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63" t="s">
        <v>2533</v>
      </c>
      <c r="Q8" s="3364"/>
      <c r="R8" s="769" t="s">
        <v>17</v>
      </c>
      <c r="S8" s="770">
        <f t="shared" si="0"/>
        <v>0</v>
      </c>
      <c r="T8" s="769" t="s">
        <v>17</v>
      </c>
      <c r="U8" s="770">
        <f t="shared" si="1"/>
        <v>0</v>
      </c>
      <c r="V8" s="769" t="s">
        <v>17</v>
      </c>
      <c r="W8" s="770">
        <f t="shared" si="2"/>
        <v>0</v>
      </c>
      <c r="X8" s="771"/>
      <c r="Y8" s="3363" t="s">
        <v>2533</v>
      </c>
      <c r="Z8" s="3364"/>
      <c r="AA8" s="772" t="e">
        <f t="shared" ref="AA8:AA34" si="3">D8/F8</f>
        <v>#DIV/0!</v>
      </c>
      <c r="AB8" s="772" t="e">
        <f t="shared" ref="AB8:AB34" si="4">D8/H8</f>
        <v>#DIV/0!</v>
      </c>
      <c r="AC8" s="772" t="e">
        <f t="shared" ref="AC8:AC34" si="5">D8/J8</f>
        <v>#DIV/0!</v>
      </c>
    </row>
    <row r="9" spans="1:29" s="116" customFormat="1">
      <c r="A9" s="414" t="s">
        <v>2534</v>
      </c>
      <c r="B9" s="70" t="s">
        <v>2535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34" t="s">
        <v>2536</v>
      </c>
      <c r="Q9" s="1796" t="str">
        <f t="shared" ref="Q9:Q14" si="6">B9</f>
        <v>用途</v>
      </c>
      <c r="R9" s="769" t="s">
        <v>17</v>
      </c>
      <c r="S9" s="770">
        <f t="shared" si="0"/>
        <v>100</v>
      </c>
      <c r="T9" s="769" t="s">
        <v>17</v>
      </c>
      <c r="U9" s="770">
        <f t="shared" si="1"/>
        <v>100</v>
      </c>
      <c r="V9" s="769" t="s">
        <v>17</v>
      </c>
      <c r="W9" s="770">
        <f t="shared" si="2"/>
        <v>100</v>
      </c>
      <c r="X9" s="771"/>
      <c r="Y9" s="3128" t="s">
        <v>2537</v>
      </c>
      <c r="Z9" s="55" t="str">
        <f t="shared" ref="Z9:Z14" si="7">Q9</f>
        <v>用途</v>
      </c>
      <c r="AA9" s="772">
        <f t="shared" si="3"/>
        <v>1</v>
      </c>
      <c r="AB9" s="772">
        <f t="shared" si="4"/>
        <v>1</v>
      </c>
      <c r="AC9" s="772">
        <f t="shared" si="5"/>
        <v>1</v>
      </c>
    </row>
    <row r="10" spans="1:29" s="426" customFormat="1" ht="27">
      <c r="A10" s="420"/>
      <c r="B10" s="421" t="s">
        <v>2538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34"/>
      <c r="Q10" s="1796" t="str">
        <f t="shared" si="6"/>
        <v>土地使用年限（年）</v>
      </c>
      <c r="R10" s="769" t="s">
        <v>17</v>
      </c>
      <c r="S10" s="770">
        <f t="shared" si="0"/>
        <v>100</v>
      </c>
      <c r="T10" s="769" t="s">
        <v>17</v>
      </c>
      <c r="U10" s="770">
        <f t="shared" si="1"/>
        <v>100</v>
      </c>
      <c r="V10" s="769" t="s">
        <v>17</v>
      </c>
      <c r="W10" s="770">
        <f t="shared" si="2"/>
        <v>100</v>
      </c>
      <c r="X10" s="771"/>
      <c r="Y10" s="3128"/>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34"/>
      <c r="Q11" s="1796">
        <f t="shared" si="6"/>
        <v>111</v>
      </c>
      <c r="R11" s="769" t="s">
        <v>17</v>
      </c>
      <c r="S11" s="770">
        <f t="shared" si="0"/>
        <v>100</v>
      </c>
      <c r="T11" s="769" t="s">
        <v>17</v>
      </c>
      <c r="U11" s="770">
        <f t="shared" si="1"/>
        <v>100</v>
      </c>
      <c r="V11" s="769" t="s">
        <v>17</v>
      </c>
      <c r="W11" s="770">
        <f t="shared" si="2"/>
        <v>100</v>
      </c>
      <c r="X11" s="771"/>
      <c r="Y11" s="3128"/>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34"/>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334"/>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772">
        <f t="shared" si="5"/>
        <v>1</v>
      </c>
    </row>
    <row r="14" spans="1:29" ht="15">
      <c r="A14" s="439" t="s">
        <v>2540</v>
      </c>
      <c r="B14" s="68" t="s">
        <v>2690</v>
      </c>
      <c r="C14" s="2692"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36" t="s">
        <v>2541</v>
      </c>
      <c r="Q14" s="1811" t="str">
        <f t="shared" si="6"/>
        <v>交通便捷度</v>
      </c>
      <c r="R14" s="773" t="s">
        <v>17</v>
      </c>
      <c r="S14" s="774">
        <f t="shared" si="0"/>
        <v>100</v>
      </c>
      <c r="T14" s="773" t="s">
        <v>17</v>
      </c>
      <c r="U14" s="774">
        <f t="shared" si="1"/>
        <v>100</v>
      </c>
      <c r="V14" s="773" t="s">
        <v>17</v>
      </c>
      <c r="W14" s="774">
        <f t="shared" si="2"/>
        <v>100</v>
      </c>
      <c r="X14" s="1814"/>
      <c r="Y14" s="3336" t="s">
        <v>2541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337"/>
      <c r="Q15" s="1811"/>
      <c r="R15" s="773"/>
      <c r="S15" s="774"/>
      <c r="T15" s="773"/>
      <c r="U15" s="774"/>
      <c r="V15" s="773"/>
      <c r="W15" s="774"/>
      <c r="X15" s="1814"/>
      <c r="Y15" s="3337"/>
      <c r="Z15" s="1815"/>
      <c r="AA15" s="1812">
        <v>1</v>
      </c>
      <c r="AB15" s="1812">
        <v>1</v>
      </c>
      <c r="AC15" s="1812">
        <v>1</v>
      </c>
    </row>
    <row r="16" spans="1:29" ht="15">
      <c r="A16" s="427"/>
      <c r="B16" s="450" t="s">
        <v>2669</v>
      </c>
      <c r="C16" s="2606"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37"/>
      <c r="Q16" s="1811" t="str">
        <f>B16</f>
        <v>公共配套设施</v>
      </c>
      <c r="R16" s="773" t="s">
        <v>17</v>
      </c>
      <c r="S16" s="774">
        <f>F16</f>
        <v>100</v>
      </c>
      <c r="T16" s="773" t="s">
        <v>17</v>
      </c>
      <c r="U16" s="774">
        <f>H16</f>
        <v>100</v>
      </c>
      <c r="V16" s="773" t="s">
        <v>17</v>
      </c>
      <c r="W16" s="774">
        <f>J16</f>
        <v>100</v>
      </c>
      <c r="X16" s="1814"/>
      <c r="Y16" s="3337"/>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2"/>
      <c r="M17" s="1133"/>
      <c r="N17" s="1133"/>
      <c r="O17" s="1141"/>
      <c r="P17" s="3337"/>
      <c r="Q17" s="1811"/>
      <c r="R17" s="773"/>
      <c r="S17" s="774"/>
      <c r="T17" s="773"/>
      <c r="U17" s="774"/>
      <c r="V17" s="773"/>
      <c r="W17" s="774"/>
      <c r="X17" s="1814"/>
      <c r="Y17" s="3337"/>
      <c r="Z17" s="1815"/>
      <c r="AA17" s="1812">
        <v>1</v>
      </c>
      <c r="AB17" s="1812">
        <v>1</v>
      </c>
      <c r="AC17" s="1812">
        <v>1</v>
      </c>
    </row>
    <row r="18" spans="1:29" ht="15">
      <c r="A18" s="427"/>
      <c r="B18" s="1386" t="s">
        <v>2670</v>
      </c>
      <c r="C18" s="260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37"/>
      <c r="Q18" s="1811" t="str">
        <f>B18</f>
        <v>基础设施水平</v>
      </c>
      <c r="R18" s="773" t="s">
        <v>17</v>
      </c>
      <c r="S18" s="774">
        <f>F18</f>
        <v>100</v>
      </c>
      <c r="T18" s="773" t="s">
        <v>17</v>
      </c>
      <c r="U18" s="774">
        <f>H18</f>
        <v>100</v>
      </c>
      <c r="V18" s="773" t="s">
        <v>17</v>
      </c>
      <c r="W18" s="774">
        <f>J18</f>
        <v>100</v>
      </c>
      <c r="X18" s="1814"/>
      <c r="Y18" s="3337"/>
      <c r="Z18" s="1815" t="str">
        <f>Q18</f>
        <v>基础设施水平</v>
      </c>
      <c r="AA18" s="1812">
        <f t="shared" ref="AA18" si="8">D18/F18</f>
        <v>1</v>
      </c>
      <c r="AB18" s="1812">
        <f t="shared" ref="AB18" si="9">D18/H18</f>
        <v>1</v>
      </c>
      <c r="AC18" s="1812">
        <f t="shared" ref="AC18" si="10">D18/J18</f>
        <v>1</v>
      </c>
    </row>
    <row r="19" spans="1:29" ht="15">
      <c r="A19" s="427"/>
      <c r="B19" s="1386"/>
      <c r="C19" s="2607"/>
      <c r="D19" s="449"/>
      <c r="E19" s="2607"/>
      <c r="F19" s="452"/>
      <c r="G19" s="2607"/>
      <c r="H19" s="447"/>
      <c r="I19" s="446"/>
      <c r="J19" s="447"/>
      <c r="K19" s="1385"/>
      <c r="L19" s="1142"/>
      <c r="M19" s="1133"/>
      <c r="N19" s="1133"/>
      <c r="O19" s="1141"/>
      <c r="P19" s="3337"/>
      <c r="Q19" s="1811"/>
      <c r="R19" s="773"/>
      <c r="S19" s="774"/>
      <c r="T19" s="773"/>
      <c r="U19" s="774"/>
      <c r="V19" s="773"/>
      <c r="W19" s="774"/>
      <c r="X19" s="1814"/>
      <c r="Y19" s="3337"/>
      <c r="Z19" s="1815"/>
      <c r="AA19" s="1812">
        <v>1</v>
      </c>
      <c r="AB19" s="1812">
        <v>1</v>
      </c>
      <c r="AC19" s="1812">
        <v>1</v>
      </c>
    </row>
    <row r="20" spans="1:29" ht="15">
      <c r="A20" s="427"/>
      <c r="B20" s="450" t="s">
        <v>2691</v>
      </c>
      <c r="C20" s="2606"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37"/>
      <c r="Q20" s="1811" t="str">
        <f>B20</f>
        <v>自然及人文环境</v>
      </c>
      <c r="R20" s="773" t="s">
        <v>17</v>
      </c>
      <c r="S20" s="774">
        <f>F20</f>
        <v>100</v>
      </c>
      <c r="T20" s="773" t="s">
        <v>17</v>
      </c>
      <c r="U20" s="774">
        <f>H20</f>
        <v>100</v>
      </c>
      <c r="V20" s="773" t="s">
        <v>17</v>
      </c>
      <c r="W20" s="774">
        <f>J20</f>
        <v>100</v>
      </c>
      <c r="X20" s="1814"/>
      <c r="Y20" s="333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337"/>
      <c r="Q21" s="1811"/>
      <c r="R21" s="773"/>
      <c r="S21" s="774"/>
      <c r="T21" s="773"/>
      <c r="U21" s="774"/>
      <c r="V21" s="773"/>
      <c r="W21" s="774"/>
      <c r="X21" s="1814"/>
      <c r="Y21" s="3337"/>
      <c r="Z21" s="1815"/>
      <c r="AA21" s="1812">
        <v>1</v>
      </c>
      <c r="AB21" s="1812">
        <v>1</v>
      </c>
      <c r="AC21" s="1812">
        <v>1</v>
      </c>
    </row>
    <row r="22" spans="1:29" ht="15">
      <c r="A22" s="427"/>
      <c r="B22" s="450" t="s">
        <v>2692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37"/>
      <c r="Q22" s="1811" t="str">
        <f>B22</f>
        <v>楼层</v>
      </c>
      <c r="R22" s="773" t="s">
        <v>17</v>
      </c>
      <c r="S22" s="774">
        <f>F22</f>
        <v>100</v>
      </c>
      <c r="T22" s="773" t="s">
        <v>17</v>
      </c>
      <c r="U22" s="774">
        <f>H22</f>
        <v>100</v>
      </c>
      <c r="V22" s="773" t="s">
        <v>17</v>
      </c>
      <c r="W22" s="774">
        <f>J22</f>
        <v>100</v>
      </c>
      <c r="X22" s="1814"/>
      <c r="Y22" s="3337"/>
      <c r="Z22" s="1815" t="str">
        <f>Q22</f>
        <v>楼层</v>
      </c>
      <c r="AA22" s="1812">
        <f t="shared" si="3"/>
        <v>1</v>
      </c>
      <c r="AB22" s="1812">
        <f t="shared" si="4"/>
        <v>1</v>
      </c>
      <c r="AC22" s="1812">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37"/>
      <c r="Q23" s="1811">
        <f>B23</f>
        <v>111</v>
      </c>
      <c r="R23" s="773" t="s">
        <v>17</v>
      </c>
      <c r="S23" s="774">
        <f>F23</f>
        <v>100</v>
      </c>
      <c r="T23" s="773" t="s">
        <v>17</v>
      </c>
      <c r="U23" s="774">
        <f>H23</f>
        <v>100</v>
      </c>
      <c r="V23" s="773" t="s">
        <v>17</v>
      </c>
      <c r="W23" s="774">
        <f>J23</f>
        <v>100</v>
      </c>
      <c r="X23" s="1814"/>
      <c r="Y23" s="3337"/>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37"/>
      <c r="Q24" s="1811">
        <f t="shared" ref="Q24:Q34" si="11">B24</f>
        <v>111</v>
      </c>
      <c r="R24" s="773" t="s">
        <v>17</v>
      </c>
      <c r="S24" s="774">
        <f>F24</f>
        <v>100</v>
      </c>
      <c r="T24" s="773" t="s">
        <v>17</v>
      </c>
      <c r="U24" s="774">
        <f>H24</f>
        <v>100</v>
      </c>
      <c r="V24" s="773" t="s">
        <v>17</v>
      </c>
      <c r="W24" s="774">
        <f>J24</f>
        <v>100</v>
      </c>
      <c r="X24" s="1814"/>
      <c r="Y24" s="3337"/>
      <c r="Z24" s="1815">
        <f>Q24</f>
        <v>111</v>
      </c>
      <c r="AA24" s="1812">
        <f t="shared" si="3"/>
        <v>1</v>
      </c>
      <c r="AB24" s="1812">
        <f t="shared" si="4"/>
        <v>1</v>
      </c>
      <c r="AC24" s="1812">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337"/>
      <c r="Q25" s="1796">
        <f t="shared" si="11"/>
        <v>111</v>
      </c>
      <c r="R25" s="769" t="s">
        <v>17</v>
      </c>
      <c r="S25" s="770">
        <f>F25</f>
        <v>100</v>
      </c>
      <c r="T25" s="769" t="s">
        <v>17</v>
      </c>
      <c r="U25" s="770">
        <f>H25</f>
        <v>100</v>
      </c>
      <c r="V25" s="769" t="s">
        <v>17</v>
      </c>
      <c r="W25" s="770">
        <f>J25</f>
        <v>100</v>
      </c>
      <c r="X25" s="771"/>
      <c r="Y25" s="3337"/>
      <c r="Z25" s="55">
        <f>Q25</f>
        <v>111</v>
      </c>
      <c r="AA25" s="1812">
        <f>D25/F25</f>
        <v>1</v>
      </c>
      <c r="AB25" s="1812">
        <f>D25/H25</f>
        <v>1</v>
      </c>
      <c r="AC25" s="1812">
        <f>D25/J25</f>
        <v>1</v>
      </c>
    </row>
    <row r="26" spans="1:29" ht="15">
      <c r="A26" s="465" t="s">
        <v>2544</v>
      </c>
      <c r="B26" s="70" t="s">
        <v>2695</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338" t="s">
        <v>2546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339" t="s">
        <v>2546</v>
      </c>
      <c r="Z26" s="1815" t="str">
        <f t="shared" ref="Z26:Z34" si="15">Q26</f>
        <v>公共部分装修</v>
      </c>
      <c r="AA26" s="1812">
        <f t="shared" si="3"/>
        <v>1</v>
      </c>
      <c r="AB26" s="1812">
        <f t="shared" si="4"/>
        <v>1</v>
      </c>
      <c r="AC26" s="1812">
        <f t="shared" si="5"/>
        <v>1</v>
      </c>
    </row>
    <row r="27" spans="1:29" s="470" customFormat="1" ht="15">
      <c r="A27" s="467"/>
      <c r="B27" s="421" t="s">
        <v>2696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39"/>
      <c r="Q27" s="775" t="str">
        <f t="shared" si="11"/>
        <v>成新率</v>
      </c>
      <c r="R27" s="776" t="s">
        <v>17</v>
      </c>
      <c r="S27" s="777" t="e">
        <f t="shared" si="12"/>
        <v>#N/A</v>
      </c>
      <c r="T27" s="776" t="s">
        <v>17</v>
      </c>
      <c r="U27" s="777" t="e">
        <f t="shared" si="13"/>
        <v>#N/A</v>
      </c>
      <c r="V27" s="776" t="s">
        <v>17</v>
      </c>
      <c r="W27" s="777" t="e">
        <f t="shared" si="14"/>
        <v>#N/A</v>
      </c>
      <c r="X27" s="778"/>
      <c r="Y27" s="3339"/>
      <c r="Z27" s="779" t="str">
        <f t="shared" si="15"/>
        <v>成新率</v>
      </c>
      <c r="AA27" s="1812" t="e">
        <f t="shared" si="3"/>
        <v>#N/A</v>
      </c>
      <c r="AB27" s="1812" t="e">
        <f t="shared" si="4"/>
        <v>#N/A</v>
      </c>
      <c r="AC27" s="1812" t="e">
        <f t="shared" si="5"/>
        <v>#N/A</v>
      </c>
    </row>
    <row r="28" spans="1:29" ht="15">
      <c r="A28" s="471"/>
      <c r="B28" s="421" t="s">
        <v>2697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39"/>
      <c r="Q28" s="1811" t="str">
        <f t="shared" si="11"/>
        <v>物业等级</v>
      </c>
      <c r="R28" s="773" t="s">
        <v>17</v>
      </c>
      <c r="S28" s="774">
        <f t="shared" si="12"/>
        <v>100</v>
      </c>
      <c r="T28" s="773" t="s">
        <v>17</v>
      </c>
      <c r="U28" s="774">
        <f t="shared" si="13"/>
        <v>100</v>
      </c>
      <c r="V28" s="773" t="s">
        <v>17</v>
      </c>
      <c r="W28" s="774">
        <f t="shared" si="14"/>
        <v>100</v>
      </c>
      <c r="X28" s="1814"/>
      <c r="Y28" s="3339"/>
      <c r="Z28" s="1815" t="str">
        <f t="shared" si="15"/>
        <v>物业等级</v>
      </c>
      <c r="AA28" s="1812">
        <f t="shared" si="3"/>
        <v>1</v>
      </c>
      <c r="AB28" s="1812">
        <f t="shared" si="4"/>
        <v>1</v>
      </c>
      <c r="AC28" s="1812">
        <f t="shared" si="5"/>
        <v>1</v>
      </c>
    </row>
    <row r="29" spans="1:29" ht="15">
      <c r="A29" s="471"/>
      <c r="B29" s="421" t="s">
        <v>2718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39"/>
      <c r="Q29" s="1811" t="str">
        <f t="shared" si="11"/>
        <v>有无电梯</v>
      </c>
      <c r="R29" s="773" t="s">
        <v>17</v>
      </c>
      <c r="S29" s="774">
        <f t="shared" si="12"/>
        <v>100</v>
      </c>
      <c r="T29" s="773" t="s">
        <v>17</v>
      </c>
      <c r="U29" s="774">
        <f t="shared" si="13"/>
        <v>100</v>
      </c>
      <c r="V29" s="773" t="s">
        <v>17</v>
      </c>
      <c r="W29" s="774">
        <f t="shared" si="14"/>
        <v>100</v>
      </c>
      <c r="X29" s="1814"/>
      <c r="Y29" s="3339"/>
      <c r="Z29" s="1815" t="str">
        <f t="shared" si="15"/>
        <v>有无电梯</v>
      </c>
      <c r="AA29" s="1812">
        <f t="shared" si="3"/>
        <v>1</v>
      </c>
      <c r="AB29" s="1812">
        <f t="shared" si="4"/>
        <v>1</v>
      </c>
      <c r="AC29" s="1812">
        <f t="shared" si="5"/>
        <v>1</v>
      </c>
    </row>
    <row r="30" spans="1:29" ht="15">
      <c r="A30" s="471"/>
      <c r="B30" s="421" t="s">
        <v>2719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39"/>
      <c r="Q30" s="1811" t="str">
        <f t="shared" si="11"/>
        <v>建筑面积</v>
      </c>
      <c r="R30" s="773" t="s">
        <v>17</v>
      </c>
      <c r="S30" s="774" t="e">
        <f t="shared" si="12"/>
        <v>#N/A</v>
      </c>
      <c r="T30" s="773" t="s">
        <v>17</v>
      </c>
      <c r="U30" s="774" t="e">
        <f t="shared" si="13"/>
        <v>#N/A</v>
      </c>
      <c r="V30" s="773" t="s">
        <v>17</v>
      </c>
      <c r="W30" s="774" t="e">
        <f t="shared" si="14"/>
        <v>#N/A</v>
      </c>
      <c r="X30" s="1814"/>
      <c r="Y30" s="3339"/>
      <c r="Z30" s="1815" t="str">
        <f t="shared" si="15"/>
        <v>建筑面积</v>
      </c>
      <c r="AA30" s="1812" t="e">
        <f t="shared" si="3"/>
        <v>#N/A</v>
      </c>
      <c r="AB30" s="1812" t="e">
        <f t="shared" si="4"/>
        <v>#N/A</v>
      </c>
      <c r="AC30" s="1812" t="e">
        <f t="shared" si="5"/>
        <v>#N/A</v>
      </c>
    </row>
    <row r="31" spans="1:29" s="116" customFormat="1" ht="15">
      <c r="A31" s="472"/>
      <c r="B31" s="421" t="s">
        <v>2720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39"/>
      <c r="Q31" s="1796" t="str">
        <f t="shared" si="11"/>
        <v>是否封闭</v>
      </c>
      <c r="R31" s="769" t="s">
        <v>17</v>
      </c>
      <c r="S31" s="770">
        <f t="shared" si="12"/>
        <v>100</v>
      </c>
      <c r="T31" s="769" t="s">
        <v>17</v>
      </c>
      <c r="U31" s="770">
        <f t="shared" si="13"/>
        <v>100</v>
      </c>
      <c r="V31" s="769" t="s">
        <v>17</v>
      </c>
      <c r="W31" s="770">
        <f t="shared" si="14"/>
        <v>100</v>
      </c>
      <c r="X31" s="771"/>
      <c r="Y31" s="3339"/>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39" t="s">
        <v>2546</v>
      </c>
      <c r="Q32" s="1811">
        <f t="shared" si="11"/>
        <v>111</v>
      </c>
      <c r="R32" s="773" t="s">
        <v>17</v>
      </c>
      <c r="S32" s="774">
        <f t="shared" si="12"/>
        <v>100</v>
      </c>
      <c r="T32" s="773" t="s">
        <v>17</v>
      </c>
      <c r="U32" s="774">
        <f t="shared" si="13"/>
        <v>100</v>
      </c>
      <c r="V32" s="773" t="s">
        <v>17</v>
      </c>
      <c r="W32" s="774">
        <f t="shared" si="14"/>
        <v>100</v>
      </c>
      <c r="X32" s="1814"/>
      <c r="Y32" s="3339" t="s">
        <v>2546</v>
      </c>
      <c r="Z32" s="1815">
        <f t="shared" si="15"/>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39"/>
      <c r="Q33" s="1811">
        <f t="shared" si="11"/>
        <v>111</v>
      </c>
      <c r="R33" s="773" t="s">
        <v>17</v>
      </c>
      <c r="S33" s="774">
        <f t="shared" si="12"/>
        <v>100</v>
      </c>
      <c r="T33" s="773" t="s">
        <v>17</v>
      </c>
      <c r="U33" s="774">
        <f t="shared" si="13"/>
        <v>100</v>
      </c>
      <c r="V33" s="773" t="s">
        <v>17</v>
      </c>
      <c r="W33" s="774">
        <f t="shared" si="14"/>
        <v>100</v>
      </c>
      <c r="X33" s="1814"/>
      <c r="Y33" s="3339"/>
      <c r="Z33" s="1815">
        <f t="shared" si="15"/>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339"/>
      <c r="Q34" s="1811">
        <f t="shared" si="11"/>
        <v>111</v>
      </c>
      <c r="R34" s="773" t="s">
        <v>17</v>
      </c>
      <c r="S34" s="774">
        <f t="shared" si="12"/>
        <v>100</v>
      </c>
      <c r="T34" s="773" t="s">
        <v>17</v>
      </c>
      <c r="U34" s="774">
        <f t="shared" si="13"/>
        <v>100</v>
      </c>
      <c r="V34" s="773" t="s">
        <v>17</v>
      </c>
      <c r="W34" s="774">
        <f t="shared" si="14"/>
        <v>100</v>
      </c>
      <c r="X34" s="1814"/>
      <c r="Y34" s="3339"/>
      <c r="Z34" s="1815">
        <f t="shared" si="15"/>
        <v>111</v>
      </c>
      <c r="AA34" s="1812">
        <f t="shared" si="3"/>
        <v>1</v>
      </c>
      <c r="AB34" s="1812">
        <f t="shared" si="4"/>
        <v>1</v>
      </c>
      <c r="AC34" s="1812">
        <f t="shared" si="5"/>
        <v>1</v>
      </c>
    </row>
    <row r="35" spans="1:29" ht="15">
      <c r="A35" s="478" t="s">
        <v>2558</v>
      </c>
      <c r="B35" s="479"/>
      <c r="C35" s="1409" t="s">
        <v>1</v>
      </c>
      <c r="D35" s="1410"/>
      <c r="E35" s="1411"/>
      <c r="F35" s="1412"/>
      <c r="G35" s="1413"/>
      <c r="H35" s="1414"/>
      <c r="I35" s="1411"/>
      <c r="J35" s="1414"/>
      <c r="K35" s="782"/>
      <c r="L35" s="1145"/>
      <c r="M35" s="1146"/>
      <c r="N35" s="1133"/>
      <c r="O35" s="1146"/>
      <c r="P35" s="3334" t="str">
        <f>A35</f>
        <v>成交单价（元/平方米）</v>
      </c>
      <c r="Q35" s="3334"/>
      <c r="R35" s="3398">
        <f>E35</f>
        <v>0</v>
      </c>
      <c r="S35" s="3398"/>
      <c r="T35" s="3398">
        <f>G35</f>
        <v>0</v>
      </c>
      <c r="U35" s="3398"/>
      <c r="V35" s="3398">
        <f>I35</f>
        <v>0</v>
      </c>
      <c r="W35" s="3398"/>
      <c r="X35" s="758"/>
      <c r="Y35" s="780"/>
      <c r="Z35" s="758"/>
      <c r="AA35" s="758"/>
      <c r="AB35" s="758"/>
      <c r="AC35" s="758"/>
    </row>
    <row r="36" spans="1:29" ht="15.75" thickBot="1">
      <c r="A36" s="485" t="s">
        <v>2650</v>
      </c>
      <c r="B36" s="486"/>
      <c r="C36" s="1415" t="e">
        <f>R37</f>
        <v>#DIV/0!</v>
      </c>
      <c r="D36" s="1416"/>
      <c r="E36" s="1417" t="e">
        <f>R36</f>
        <v>#DIV/0!</v>
      </c>
      <c r="F36" s="1417"/>
      <c r="G36" s="1415" t="e">
        <f>T36</f>
        <v>#DIV/0!</v>
      </c>
      <c r="H36" s="1416"/>
      <c r="I36" s="1417" t="e">
        <f>V36</f>
        <v>#DIV/0!</v>
      </c>
      <c r="J36" s="1416"/>
      <c r="K36" s="783"/>
      <c r="L36" s="1145"/>
      <c r="M36" s="1146"/>
      <c r="N36" s="1133"/>
      <c r="O36" s="1146"/>
      <c r="P36" s="3334" t="str">
        <f>A36</f>
        <v>比较价值（元/平方米）</v>
      </c>
      <c r="Q36" s="3334"/>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758"/>
      <c r="Y36" s="758"/>
      <c r="Z36" s="758"/>
      <c r="AA36" s="758"/>
      <c r="AB36" s="758"/>
      <c r="AC36" s="758"/>
    </row>
    <row r="37" spans="1:29" ht="15.75" thickBot="1">
      <c r="A37" s="491" t="s">
        <v>2651</v>
      </c>
      <c r="B37" s="492"/>
      <c r="C37" s="1419" t="e">
        <f>R37</f>
        <v>#DIV/0!</v>
      </c>
      <c r="D37" s="1419"/>
      <c r="E37" s="1419"/>
      <c r="F37" s="1419"/>
      <c r="G37" s="1419"/>
      <c r="H37" s="1419"/>
      <c r="I37" s="1419"/>
      <c r="J37" s="1419"/>
      <c r="K37" s="784"/>
      <c r="L37" s="1145"/>
      <c r="M37" s="1146"/>
      <c r="N37" s="1146"/>
      <c r="O37" s="1146"/>
      <c r="P37" s="3328" t="str">
        <f>A37</f>
        <v>估价对象XX用房的比较价值（楼面单价，元/平方米）</v>
      </c>
      <c r="Q37" s="3329"/>
      <c r="R37" s="3397" t="e">
        <f>IF(F1="售价",ROUND(AVERAGE(R36:V36),0),ROUND(AVERAGE(R36:V36),1))</f>
        <v>#DIV/0!</v>
      </c>
      <c r="S37" s="3397"/>
      <c r="T37" s="3397"/>
      <c r="U37" s="3397"/>
      <c r="V37" s="3397"/>
      <c r="W37" s="339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2655</v>
      </c>
      <c r="B45" s="758"/>
      <c r="C45" s="763"/>
      <c r="D45" s="763"/>
      <c r="E45" s="763"/>
      <c r="F45" s="764"/>
      <c r="G45" s="764"/>
      <c r="H45" s="763"/>
      <c r="I45" s="763"/>
      <c r="J45" s="763"/>
      <c r="K45" s="765"/>
      <c r="L45" s="766"/>
      <c r="M45" s="763"/>
      <c r="N45" s="763"/>
      <c r="O45" s="763"/>
      <c r="P45" s="502"/>
      <c r="Q45" s="503"/>
    </row>
    <row r="46" spans="1:29" s="507" customFormat="1" ht="15">
      <c r="A46" s="504" t="s">
        <v>2529</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2566</v>
      </c>
      <c r="B48" s="515"/>
      <c r="C48" s="516"/>
      <c r="D48" s="517"/>
      <c r="E48" s="517"/>
      <c r="F48" s="517"/>
      <c r="G48" s="517"/>
      <c r="H48" s="517"/>
      <c r="I48" s="517"/>
      <c r="J48" s="517"/>
      <c r="K48" s="517"/>
      <c r="L48" s="517"/>
      <c r="M48" s="518"/>
      <c r="N48" s="517"/>
      <c r="O48" s="519"/>
      <c r="P48" s="503"/>
      <c r="Q48" s="503"/>
    </row>
    <row r="49" spans="1:17" s="116" customFormat="1" ht="15">
      <c r="A49" s="520" t="s">
        <v>2531</v>
      </c>
      <c r="B49" s="509"/>
      <c r="C49" s="521" t="s">
        <v>2633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2569</v>
      </c>
      <c r="B51" s="527" t="s">
        <v>2535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2538</v>
      </c>
      <c r="C53" s="538" t="s">
        <v>2570</v>
      </c>
      <c r="D53" s="538" t="s">
        <v>2571</v>
      </c>
      <c r="E53" s="538" t="s">
        <v>2572</v>
      </c>
      <c r="F53" s="538" t="s">
        <v>2573</v>
      </c>
      <c r="G53" s="538" t="s">
        <v>2574</v>
      </c>
      <c r="H53" s="538" t="s">
        <v>2575</v>
      </c>
      <c r="I53" s="538" t="s">
        <v>2576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2540</v>
      </c>
      <c r="B61" s="527" t="s">
        <v>2583</v>
      </c>
      <c r="C61" s="572" t="s">
        <v>2578</v>
      </c>
      <c r="D61" s="572" t="s">
        <v>2579</v>
      </c>
      <c r="E61" s="572" t="s">
        <v>2580</v>
      </c>
      <c r="F61" s="572" t="s">
        <v>2581</v>
      </c>
      <c r="G61" s="572" t="s">
        <v>2582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2721</v>
      </c>
      <c r="C63" s="577" t="s">
        <v>2578</v>
      </c>
      <c r="D63" s="577" t="s">
        <v>2579</v>
      </c>
      <c r="E63" s="577" t="s">
        <v>2580</v>
      </c>
      <c r="F63" s="577" t="s">
        <v>2581</v>
      </c>
      <c r="G63" s="577" t="s">
        <v>2582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2670</v>
      </c>
      <c r="C65" s="659" t="s">
        <v>2656</v>
      </c>
      <c r="D65" s="659" t="s">
        <v>2657</v>
      </c>
      <c r="E65" s="659" t="s">
        <v>2658</v>
      </c>
      <c r="F65" s="659" t="s">
        <v>2659</v>
      </c>
      <c r="G65" s="659" t="s">
        <v>2660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2590</v>
      </c>
      <c r="C67" s="577" t="s">
        <v>2578</v>
      </c>
      <c r="D67" s="577" t="s">
        <v>2579</v>
      </c>
      <c r="E67" s="577" t="s">
        <v>2580</v>
      </c>
      <c r="F67" s="577" t="s">
        <v>2581</v>
      </c>
      <c r="G67" s="577" t="s">
        <v>2582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2544</v>
      </c>
      <c r="B77" s="527" t="s">
        <v>2597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20" sqref="I2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2725</v>
      </c>
      <c r="B1" s="394"/>
      <c r="C1" s="395" t="s">
        <v>2776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ROUND(IF(D3="",B2*10000/'数据-汇总表'!E3,B2*10000/D3),0)</f>
        <v>#DIV/0!</v>
      </c>
      <c r="C3" s="246" t="s">
        <v>2727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2626</v>
      </c>
      <c r="B4" s="401"/>
      <c r="C4" s="3331" t="s">
        <v>2627</v>
      </c>
      <c r="D4" s="3344"/>
      <c r="E4" s="3345" t="s">
        <v>2628</v>
      </c>
      <c r="F4" s="3346"/>
      <c r="G4" s="3331" t="s">
        <v>2629</v>
      </c>
      <c r="H4" s="3344"/>
      <c r="I4" s="3331" t="s">
        <v>2630</v>
      </c>
      <c r="J4" s="3344"/>
      <c r="K4" s="609" t="s">
        <v>2631</v>
      </c>
      <c r="L4" s="1132"/>
      <c r="M4" s="1133"/>
      <c r="N4" s="1133"/>
      <c r="O4" s="1133"/>
      <c r="P4" s="3347" t="s">
        <v>2632</v>
      </c>
      <c r="Q4" s="3348"/>
      <c r="R4" s="3353" t="s">
        <v>2628</v>
      </c>
      <c r="S4" s="3354"/>
      <c r="T4" s="3353" t="s">
        <v>2629</v>
      </c>
      <c r="U4" s="3354"/>
      <c r="V4" s="3340" t="s">
        <v>2630</v>
      </c>
      <c r="W4" s="3340"/>
      <c r="X4" s="1814"/>
      <c r="Y4" s="3353" t="s">
        <v>2632</v>
      </c>
      <c r="Z4" s="3354"/>
      <c r="AA4" s="3341" t="s">
        <v>2628</v>
      </c>
      <c r="AB4" s="3342" t="s">
        <v>2629</v>
      </c>
      <c r="AC4" s="3341" t="s">
        <v>2630</v>
      </c>
    </row>
    <row r="5" spans="1:29" ht="15">
      <c r="A5" s="403"/>
      <c r="B5" s="404"/>
      <c r="C5" s="3407" t="s">
        <v>2523</v>
      </c>
      <c r="D5" s="3408"/>
      <c r="E5" s="3411" t="s">
        <v>2524</v>
      </c>
      <c r="F5" s="3412"/>
      <c r="G5" s="3407" t="s">
        <v>2525</v>
      </c>
      <c r="H5" s="3408"/>
      <c r="I5" s="3407" t="s">
        <v>2526</v>
      </c>
      <c r="J5" s="3408"/>
      <c r="K5" s="609"/>
      <c r="L5" s="1132"/>
      <c r="M5" s="1133"/>
      <c r="N5" s="1133"/>
      <c r="O5" s="1133"/>
      <c r="P5" s="3349"/>
      <c r="Q5" s="3350"/>
      <c r="R5" s="3355"/>
      <c r="S5" s="3356"/>
      <c r="T5" s="3355"/>
      <c r="U5" s="3356"/>
      <c r="V5" s="3340"/>
      <c r="W5" s="3340"/>
      <c r="X5" s="1814"/>
      <c r="Y5" s="3355"/>
      <c r="Z5" s="3356"/>
      <c r="AA5" s="3342"/>
      <c r="AB5" s="3342"/>
      <c r="AC5" s="3342"/>
    </row>
    <row r="6" spans="1:29" ht="15.75" thickBot="1">
      <c r="A6" s="405"/>
      <c r="B6" s="406"/>
      <c r="C6" s="3359" t="s">
        <v>2777</v>
      </c>
      <c r="D6" s="3360"/>
      <c r="E6" s="3366" t="s">
        <v>2777</v>
      </c>
      <c r="F6" s="3367"/>
      <c r="G6" s="3359" t="s">
        <v>2777</v>
      </c>
      <c r="H6" s="3360"/>
      <c r="I6" s="3359" t="s">
        <v>2777</v>
      </c>
      <c r="J6" s="3360"/>
      <c r="K6" s="609" t="s">
        <v>2528</v>
      </c>
      <c r="L6" s="1132"/>
      <c r="M6" s="1133"/>
      <c r="N6" s="1133"/>
      <c r="O6" s="1133"/>
      <c r="P6" s="3351"/>
      <c r="Q6" s="3352"/>
      <c r="R6" s="3355"/>
      <c r="S6" s="3356"/>
      <c r="T6" s="3357"/>
      <c r="U6" s="3358"/>
      <c r="V6" s="3340"/>
      <c r="W6" s="3340"/>
      <c r="X6" s="1814"/>
      <c r="Y6" s="3357"/>
      <c r="Z6" s="3358"/>
      <c r="AA6" s="3343"/>
      <c r="AB6" s="3343"/>
      <c r="AC6" s="3343"/>
    </row>
    <row r="7" spans="1:29" s="116" customFormat="1" ht="15.75" thickBot="1">
      <c r="A7" s="407" t="s">
        <v>2529</v>
      </c>
      <c r="B7" s="408"/>
      <c r="C7" s="409">
        <f>'数据-取费表'!B2</f>
        <v>43444</v>
      </c>
      <c r="D7" s="410">
        <v>100</v>
      </c>
      <c r="E7" s="411"/>
      <c r="F7" s="412">
        <f>SUMIF(65:65,YEAR(E7)&amp;"-"&amp;INT((MONTH(E7)+2)/3),66:66)</f>
        <v>0</v>
      </c>
      <c r="G7" s="2695"/>
      <c r="H7" s="410">
        <f>SUMIF(65:65,YEAR(G7)&amp;"-"&amp;INT((MONTH(G7)+2)/3),66:66)</f>
        <v>0</v>
      </c>
      <c r="I7" s="2695"/>
      <c r="J7" s="410">
        <f>SUMIF(65:65,YEAR(I7)&amp;"-"&amp;INT((MONTH(I7)+2)/3),66:66)</f>
        <v>0</v>
      </c>
      <c r="K7" s="610"/>
      <c r="L7" s="1134"/>
      <c r="M7" s="1135"/>
      <c r="N7" s="1135"/>
      <c r="O7" s="1135"/>
      <c r="P7" s="3363" t="s">
        <v>2530</v>
      </c>
      <c r="Q7" s="3365"/>
      <c r="R7" s="769" t="s">
        <v>17</v>
      </c>
      <c r="S7" s="770">
        <f t="shared" ref="S7:S15" si="0">F7</f>
        <v>0</v>
      </c>
      <c r="T7" s="769" t="s">
        <v>17</v>
      </c>
      <c r="U7" s="770">
        <f t="shared" ref="U7:U15" si="1">H7</f>
        <v>0</v>
      </c>
      <c r="V7" s="769" t="s">
        <v>17</v>
      </c>
      <c r="W7" s="770">
        <f t="shared" ref="W7:W15" si="2">J7</f>
        <v>0</v>
      </c>
      <c r="X7" s="771"/>
      <c r="Y7" s="3363" t="s">
        <v>2530</v>
      </c>
      <c r="Z7" s="3364"/>
      <c r="AA7" s="772" t="e">
        <f>D7/F7</f>
        <v>#DIV/0!</v>
      </c>
      <c r="AB7" s="772" t="e">
        <f>D7/H7</f>
        <v>#DIV/0!</v>
      </c>
      <c r="AC7" s="772" t="e">
        <f>D7/J7</f>
        <v>#DIV/0!</v>
      </c>
    </row>
    <row r="8" spans="1:29" s="116" customFormat="1" ht="15.75" thickBot="1">
      <c r="A8" s="407" t="s">
        <v>2531</v>
      </c>
      <c r="B8" s="408"/>
      <c r="C8" s="413" t="s">
        <v>2532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63" t="s">
        <v>2533</v>
      </c>
      <c r="Q8" s="3364"/>
      <c r="R8" s="769" t="s">
        <v>17</v>
      </c>
      <c r="S8" s="770">
        <f t="shared" si="0"/>
        <v>0</v>
      </c>
      <c r="T8" s="769" t="s">
        <v>17</v>
      </c>
      <c r="U8" s="770">
        <f t="shared" si="1"/>
        <v>0</v>
      </c>
      <c r="V8" s="769" t="s">
        <v>17</v>
      </c>
      <c r="W8" s="770">
        <f t="shared" si="2"/>
        <v>0</v>
      </c>
      <c r="X8" s="771"/>
      <c r="Y8" s="3363" t="s">
        <v>2533</v>
      </c>
      <c r="Z8" s="3364"/>
      <c r="AA8" s="772" t="e">
        <f t="shared" ref="AA8:AA40" si="3">D8/F8</f>
        <v>#DIV/0!</v>
      </c>
      <c r="AB8" s="772" t="e">
        <f t="shared" ref="AB8:AB40" si="4">D8/H8</f>
        <v>#DIV/0!</v>
      </c>
      <c r="AC8" s="772" t="e">
        <f t="shared" ref="AC8:AC40" si="5">D8/J8</f>
        <v>#DIV/0!</v>
      </c>
    </row>
    <row r="9" spans="1:29" s="116" customFormat="1">
      <c r="A9" s="414" t="s">
        <v>2534</v>
      </c>
      <c r="B9" s="70" t="s">
        <v>2535</v>
      </c>
      <c r="C9" s="2698"/>
      <c r="D9" s="134">
        <v>100</v>
      </c>
      <c r="E9" s="2698"/>
      <c r="F9" s="134">
        <f>SUMIF(70:70,E9,71:71)-SUMIF(70:70,C9,71:71)+100</f>
        <v>100</v>
      </c>
      <c r="G9" s="2698"/>
      <c r="H9" s="134">
        <f>SUMIF(70:70,G9,71:71)-SUMIF(70:70,C9,71:71)+100</f>
        <v>100</v>
      </c>
      <c r="I9" s="2698"/>
      <c r="J9" s="134">
        <f>SUMIF(70:70,I9,71:71)-SUMIF(70:70,C9,71:71)+100</f>
        <v>100</v>
      </c>
      <c r="K9" s="610"/>
      <c r="L9" s="1134"/>
      <c r="M9" s="1135"/>
      <c r="N9" s="1135"/>
      <c r="O9" s="1136"/>
      <c r="P9" s="3334" t="s">
        <v>2536</v>
      </c>
      <c r="Q9" s="1796" t="str">
        <f t="shared" ref="Q9:Q15" si="6">B9</f>
        <v>用途</v>
      </c>
      <c r="R9" s="769" t="s">
        <v>17</v>
      </c>
      <c r="S9" s="770">
        <f t="shared" si="0"/>
        <v>100</v>
      </c>
      <c r="T9" s="769" t="s">
        <v>17</v>
      </c>
      <c r="U9" s="770">
        <f t="shared" si="1"/>
        <v>100</v>
      </c>
      <c r="V9" s="769" t="s">
        <v>17</v>
      </c>
      <c r="W9" s="770">
        <f t="shared" si="2"/>
        <v>100</v>
      </c>
      <c r="X9" s="771"/>
      <c r="Y9" s="3128" t="s">
        <v>2537</v>
      </c>
      <c r="Z9" s="55" t="str">
        <f t="shared" ref="Z9:Z15" si="7">Q9</f>
        <v>用途</v>
      </c>
      <c r="AA9" s="772">
        <f t="shared" si="3"/>
        <v>1</v>
      </c>
      <c r="AB9" s="772">
        <f t="shared" si="4"/>
        <v>1</v>
      </c>
      <c r="AC9" s="772">
        <f t="shared" si="5"/>
        <v>1</v>
      </c>
    </row>
    <row r="10" spans="1:29" s="426" customFormat="1" ht="27">
      <c r="A10" s="420"/>
      <c r="B10" s="421" t="s">
        <v>2538</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334"/>
      <c r="Q10" s="1796" t="str">
        <f t="shared" si="6"/>
        <v>土地使用年限（年）</v>
      </c>
      <c r="R10" s="769" t="s">
        <v>17</v>
      </c>
      <c r="S10" s="770">
        <f t="shared" si="0"/>
        <v>101</v>
      </c>
      <c r="T10" s="769" t="s">
        <v>17</v>
      </c>
      <c r="U10" s="770">
        <f t="shared" si="1"/>
        <v>101</v>
      </c>
      <c r="V10" s="769" t="s">
        <v>17</v>
      </c>
      <c r="W10" s="770">
        <f t="shared" si="2"/>
        <v>101</v>
      </c>
      <c r="X10" s="771"/>
      <c r="Y10" s="3128"/>
      <c r="Z10" s="55" t="str">
        <f t="shared" si="7"/>
        <v>土地使用年限（年）</v>
      </c>
      <c r="AA10" s="772">
        <f t="shared" si="3"/>
        <v>0.99009900990099009</v>
      </c>
      <c r="AB10" s="772">
        <f t="shared" si="4"/>
        <v>0.99009900990099009</v>
      </c>
      <c r="AC10" s="772">
        <f t="shared" si="5"/>
        <v>0.99009900990099009</v>
      </c>
    </row>
    <row r="11" spans="1:29" ht="15">
      <c r="A11" s="427"/>
      <c r="B11" s="421" t="s">
        <v>2539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34"/>
      <c r="Q11" s="1796" t="str">
        <f t="shared" si="6"/>
        <v>容积率</v>
      </c>
      <c r="R11" s="769" t="s">
        <v>17</v>
      </c>
      <c r="S11" s="770" t="e">
        <f t="shared" si="0"/>
        <v>#N/A</v>
      </c>
      <c r="T11" s="769" t="s">
        <v>17</v>
      </c>
      <c r="U11" s="770" t="e">
        <f t="shared" si="1"/>
        <v>#N/A</v>
      </c>
      <c r="V11" s="769" t="s">
        <v>17</v>
      </c>
      <c r="W11" s="770" t="e">
        <f t="shared" si="2"/>
        <v>#N/A</v>
      </c>
      <c r="X11" s="771"/>
      <c r="Y11" s="3128"/>
      <c r="Z11" s="55"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34"/>
      <c r="Q12" s="1796">
        <f t="shared" si="6"/>
        <v>111</v>
      </c>
      <c r="R12" s="769" t="s">
        <v>17</v>
      </c>
      <c r="S12" s="770">
        <f t="shared" si="0"/>
        <v>100</v>
      </c>
      <c r="T12" s="769" t="s">
        <v>17</v>
      </c>
      <c r="U12" s="770">
        <f t="shared" si="1"/>
        <v>100</v>
      </c>
      <c r="V12" s="769" t="s">
        <v>17</v>
      </c>
      <c r="W12" s="770">
        <f t="shared" si="2"/>
        <v>100</v>
      </c>
      <c r="X12" s="771"/>
      <c r="Y12" s="3128"/>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34"/>
      <c r="Q13" s="1796">
        <f t="shared" si="6"/>
        <v>111</v>
      </c>
      <c r="R13" s="769" t="s">
        <v>17</v>
      </c>
      <c r="S13" s="770">
        <f t="shared" si="0"/>
        <v>100</v>
      </c>
      <c r="T13" s="769" t="s">
        <v>17</v>
      </c>
      <c r="U13" s="770">
        <f t="shared" si="1"/>
        <v>100</v>
      </c>
      <c r="V13" s="769" t="s">
        <v>17</v>
      </c>
      <c r="W13" s="770">
        <f t="shared" si="2"/>
        <v>100</v>
      </c>
      <c r="X13" s="771"/>
      <c r="Y13" s="3128"/>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34"/>
      <c r="Q14" s="1796">
        <f t="shared" si="6"/>
        <v>111</v>
      </c>
      <c r="R14" s="769" t="s">
        <v>17</v>
      </c>
      <c r="S14" s="770">
        <f t="shared" si="0"/>
        <v>100</v>
      </c>
      <c r="T14" s="769" t="s">
        <v>17</v>
      </c>
      <c r="U14" s="770">
        <f t="shared" si="1"/>
        <v>100</v>
      </c>
      <c r="V14" s="769" t="s">
        <v>17</v>
      </c>
      <c r="W14" s="770">
        <f t="shared" si="2"/>
        <v>100</v>
      </c>
      <c r="X14" s="771"/>
      <c r="Y14" s="3128"/>
      <c r="Z14" s="55">
        <f t="shared" si="7"/>
        <v>111</v>
      </c>
      <c r="AA14" s="772">
        <f t="shared" si="3"/>
        <v>1</v>
      </c>
      <c r="AB14" s="772">
        <f t="shared" si="4"/>
        <v>1</v>
      </c>
      <c r="AC14" s="772">
        <f t="shared" si="5"/>
        <v>1</v>
      </c>
    </row>
    <row r="15" spans="1:29" ht="15">
      <c r="A15" s="439" t="s">
        <v>2540</v>
      </c>
      <c r="B15" s="628" t="s">
        <v>2778</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36" t="s">
        <v>2541</v>
      </c>
      <c r="Q15" s="1811" t="str">
        <f t="shared" si="6"/>
        <v>产业集聚程度</v>
      </c>
      <c r="R15" s="773" t="s">
        <v>17</v>
      </c>
      <c r="S15" s="774">
        <f t="shared" si="0"/>
        <v>100</v>
      </c>
      <c r="T15" s="773" t="s">
        <v>17</v>
      </c>
      <c r="U15" s="774">
        <f t="shared" si="1"/>
        <v>100</v>
      </c>
      <c r="V15" s="773" t="s">
        <v>17</v>
      </c>
      <c r="W15" s="774">
        <f t="shared" si="2"/>
        <v>100</v>
      </c>
      <c r="X15" s="1814"/>
      <c r="Y15" s="3336" t="s">
        <v>2541</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2"/>
      <c r="M16" s="1133"/>
      <c r="N16" s="1133"/>
      <c r="O16" s="1141"/>
      <c r="P16" s="3337"/>
      <c r="Q16" s="1811"/>
      <c r="R16" s="773"/>
      <c r="S16" s="774"/>
      <c r="T16" s="773"/>
      <c r="U16" s="774"/>
      <c r="V16" s="773"/>
      <c r="W16" s="774"/>
      <c r="X16" s="1814"/>
      <c r="Y16" s="3337"/>
      <c r="Z16" s="1815"/>
      <c r="AA16" s="1812">
        <v>1</v>
      </c>
      <c r="AB16" s="1812">
        <v>1</v>
      </c>
      <c r="AC16" s="1812">
        <v>1</v>
      </c>
    </row>
    <row r="17" spans="1:29" ht="15">
      <c r="A17" s="427"/>
      <c r="B17" s="630" t="s">
        <v>2690</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37"/>
      <c r="Q17" s="1811" t="str">
        <f>B17</f>
        <v>交通便捷度</v>
      </c>
      <c r="R17" s="773" t="s">
        <v>17</v>
      </c>
      <c r="S17" s="774">
        <f>F17</f>
        <v>100</v>
      </c>
      <c r="T17" s="773" t="s">
        <v>17</v>
      </c>
      <c r="U17" s="774">
        <f>H17</f>
        <v>100</v>
      </c>
      <c r="V17" s="773" t="s">
        <v>17</v>
      </c>
      <c r="W17" s="774">
        <f>J17</f>
        <v>100</v>
      </c>
      <c r="X17" s="1814"/>
      <c r="Y17" s="3337"/>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2"/>
      <c r="M18" s="1133"/>
      <c r="N18" s="1133"/>
      <c r="O18" s="1141"/>
      <c r="P18" s="3337"/>
      <c r="Q18" s="1811"/>
      <c r="R18" s="773"/>
      <c r="S18" s="774"/>
      <c r="T18" s="773"/>
      <c r="U18" s="774"/>
      <c r="V18" s="773"/>
      <c r="W18" s="774"/>
      <c r="X18" s="1814"/>
      <c r="Y18" s="3337"/>
      <c r="Z18" s="1815"/>
      <c r="AA18" s="1812">
        <v>1</v>
      </c>
      <c r="AB18" s="1812">
        <v>1</v>
      </c>
      <c r="AC18" s="1812">
        <v>1</v>
      </c>
    </row>
    <row r="19" spans="1:29" ht="15">
      <c r="A19" s="427"/>
      <c r="B19" s="630" t="s">
        <v>2729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37"/>
      <c r="Q19" s="1811" t="str">
        <f t="shared" ref="Q19:Q33" si="8">B19</f>
        <v>区域土地利用方向</v>
      </c>
      <c r="R19" s="773" t="s">
        <v>17</v>
      </c>
      <c r="S19" s="774">
        <f>F19</f>
        <v>100</v>
      </c>
      <c r="T19" s="773" t="s">
        <v>17</v>
      </c>
      <c r="U19" s="774">
        <f>H19</f>
        <v>100</v>
      </c>
      <c r="V19" s="773" t="s">
        <v>17</v>
      </c>
      <c r="W19" s="774">
        <f>J19</f>
        <v>100</v>
      </c>
      <c r="X19" s="1814"/>
      <c r="Y19" s="3337"/>
      <c r="Z19" s="1815" t="str">
        <f>Q19</f>
        <v>区域土地利用方向</v>
      </c>
      <c r="AA19" s="1812">
        <f t="shared" si="3"/>
        <v>1</v>
      </c>
      <c r="AB19" s="1812">
        <f t="shared" si="4"/>
        <v>1</v>
      </c>
      <c r="AC19" s="1812">
        <f t="shared" si="5"/>
        <v>1</v>
      </c>
    </row>
    <row r="20" spans="1:29" ht="15">
      <c r="A20" s="403"/>
      <c r="B20" s="631"/>
      <c r="C20" s="446"/>
      <c r="D20" s="447"/>
      <c r="E20" s="2604"/>
      <c r="F20" s="447"/>
      <c r="G20" s="2604"/>
      <c r="H20" s="447"/>
      <c r="I20" s="2604"/>
      <c r="J20" s="447"/>
      <c r="K20" s="811"/>
      <c r="L20" s="1142"/>
      <c r="M20" s="1133"/>
      <c r="N20" s="1133"/>
      <c r="O20" s="1141"/>
      <c r="P20" s="3337"/>
      <c r="Q20" s="1811"/>
      <c r="R20" s="773"/>
      <c r="S20" s="774"/>
      <c r="T20" s="773"/>
      <c r="U20" s="774"/>
      <c r="V20" s="773"/>
      <c r="W20" s="774"/>
      <c r="X20" s="1814"/>
      <c r="Y20" s="3337"/>
      <c r="Z20" s="1815"/>
      <c r="AA20" s="1812"/>
      <c r="AB20" s="1812"/>
      <c r="AC20" s="1812"/>
    </row>
    <row r="21" spans="1:29" ht="15">
      <c r="A21" s="403"/>
      <c r="B21" s="630" t="s">
        <v>2779</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37"/>
      <c r="Q21" s="1811" t="str">
        <f t="shared" si="8"/>
        <v>环境状况</v>
      </c>
      <c r="R21" s="773" t="s">
        <v>17</v>
      </c>
      <c r="S21" s="774">
        <f>F21</f>
        <v>100</v>
      </c>
      <c r="T21" s="773" t="s">
        <v>17</v>
      </c>
      <c r="U21" s="774">
        <f>H21</f>
        <v>100</v>
      </c>
      <c r="V21" s="773" t="s">
        <v>17</v>
      </c>
      <c r="W21" s="774">
        <f>J21</f>
        <v>100</v>
      </c>
      <c r="X21" s="1814"/>
      <c r="Y21" s="3337"/>
      <c r="Z21" s="1815" t="str">
        <f>Q21</f>
        <v>环境状况</v>
      </c>
      <c r="AA21" s="1812">
        <f t="shared" si="3"/>
        <v>1</v>
      </c>
      <c r="AB21" s="1812">
        <f t="shared" si="4"/>
        <v>1</v>
      </c>
      <c r="AC21" s="1812">
        <f t="shared" si="5"/>
        <v>1</v>
      </c>
    </row>
    <row r="22" spans="1:29" ht="15">
      <c r="A22" s="403"/>
      <c r="B22" s="631"/>
      <c r="C22" s="446"/>
      <c r="D22" s="447"/>
      <c r="E22" s="2610"/>
      <c r="F22" s="447"/>
      <c r="G22" s="2610"/>
      <c r="H22" s="447"/>
      <c r="I22" s="446"/>
      <c r="J22" s="447"/>
      <c r="K22" s="671"/>
      <c r="L22" s="1142"/>
      <c r="M22" s="1133"/>
      <c r="N22" s="1133"/>
      <c r="O22" s="1141"/>
      <c r="P22" s="3337"/>
      <c r="Q22" s="1811"/>
      <c r="R22" s="773"/>
      <c r="S22" s="774"/>
      <c r="T22" s="773"/>
      <c r="U22" s="774"/>
      <c r="V22" s="773"/>
      <c r="W22" s="774"/>
      <c r="X22" s="1814"/>
      <c r="Y22" s="3337"/>
      <c r="Z22" s="1815"/>
      <c r="AA22" s="1812">
        <v>1</v>
      </c>
      <c r="AB22" s="1812">
        <v>1</v>
      </c>
      <c r="AC22" s="1812">
        <v>1</v>
      </c>
    </row>
    <row r="23" spans="1:29" s="116" customFormat="1" ht="15">
      <c r="A23" s="648"/>
      <c r="B23" s="632" t="s">
        <v>2635</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37"/>
      <c r="Q23" s="1796" t="str">
        <f t="shared" si="8"/>
        <v>公共配套设施</v>
      </c>
      <c r="R23" s="769" t="s">
        <v>17</v>
      </c>
      <c r="S23" s="770">
        <f>F23</f>
        <v>100</v>
      </c>
      <c r="T23" s="769" t="s">
        <v>17</v>
      </c>
      <c r="U23" s="770">
        <f>H23</f>
        <v>100</v>
      </c>
      <c r="V23" s="769" t="s">
        <v>17</v>
      </c>
      <c r="W23" s="770">
        <f>J23</f>
        <v>100</v>
      </c>
      <c r="X23" s="771"/>
      <c r="Y23" s="3337"/>
      <c r="Z23" s="55" t="str">
        <f>Q23</f>
        <v>公共配套设施</v>
      </c>
      <c r="AA23" s="1812">
        <f>D23/F23</f>
        <v>1</v>
      </c>
      <c r="AB23" s="1812">
        <f>D23/H23</f>
        <v>1</v>
      </c>
      <c r="AC23" s="1812">
        <f>D23/J23</f>
        <v>1</v>
      </c>
    </row>
    <row r="24" spans="1:29" s="116" customFormat="1" ht="15">
      <c r="A24" s="648"/>
      <c r="B24" s="631"/>
      <c r="C24" s="2699"/>
      <c r="D24" s="447"/>
      <c r="E24" s="2610"/>
      <c r="F24" s="447"/>
      <c r="G24" s="2610"/>
      <c r="H24" s="447"/>
      <c r="I24" s="446"/>
      <c r="J24" s="447"/>
      <c r="K24" s="671"/>
      <c r="L24" s="1134"/>
      <c r="M24" s="1135"/>
      <c r="N24" s="1135"/>
      <c r="O24" s="1136"/>
      <c r="P24" s="3337"/>
      <c r="Q24" s="1796"/>
      <c r="R24" s="769"/>
      <c r="S24" s="770"/>
      <c r="T24" s="769"/>
      <c r="U24" s="770"/>
      <c r="V24" s="769"/>
      <c r="W24" s="770"/>
      <c r="X24" s="771"/>
      <c r="Y24" s="3337"/>
      <c r="Z24" s="55"/>
      <c r="AA24" s="772">
        <v>1</v>
      </c>
      <c r="AB24" s="772">
        <v>1</v>
      </c>
      <c r="AC24" s="772">
        <v>1</v>
      </c>
    </row>
    <row r="25" spans="1:29" s="116" customFormat="1" ht="15">
      <c r="A25" s="648"/>
      <c r="B25" s="632" t="s">
        <v>2636</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37"/>
      <c r="Q25" s="1796" t="str">
        <f t="shared" ref="Q25" si="9">B25</f>
        <v>基础设施水平</v>
      </c>
      <c r="R25" s="769" t="s">
        <v>17</v>
      </c>
      <c r="S25" s="770">
        <f>F25</f>
        <v>100</v>
      </c>
      <c r="T25" s="769" t="s">
        <v>17</v>
      </c>
      <c r="U25" s="770">
        <f>H25</f>
        <v>100</v>
      </c>
      <c r="V25" s="769" t="s">
        <v>17</v>
      </c>
      <c r="W25" s="770">
        <f>J25</f>
        <v>100</v>
      </c>
      <c r="X25" s="771"/>
      <c r="Y25" s="3337"/>
      <c r="Z25" s="55" t="str">
        <f>Q25</f>
        <v>基础设施水平</v>
      </c>
      <c r="AA25" s="1812">
        <f>D25/F25</f>
        <v>1</v>
      </c>
      <c r="AB25" s="1812">
        <f>D25/H25</f>
        <v>1</v>
      </c>
      <c r="AC25" s="1812">
        <f>D25/J25</f>
        <v>1</v>
      </c>
    </row>
    <row r="26" spans="1:29" s="116" customFormat="1" ht="15">
      <c r="A26" s="648"/>
      <c r="B26" s="631"/>
      <c r="C26" s="2699"/>
      <c r="D26" s="447"/>
      <c r="E26" s="2700"/>
      <c r="F26" s="447"/>
      <c r="G26" s="2700"/>
      <c r="H26" s="447"/>
      <c r="I26" s="2700"/>
      <c r="J26" s="447"/>
      <c r="K26" s="671"/>
      <c r="L26" s="1134"/>
      <c r="M26" s="1135"/>
      <c r="N26" s="1135"/>
      <c r="O26" s="1136"/>
      <c r="P26" s="3337"/>
      <c r="Q26" s="1796"/>
      <c r="R26" s="769"/>
      <c r="S26" s="770"/>
      <c r="T26" s="769"/>
      <c r="U26" s="770"/>
      <c r="V26" s="769"/>
      <c r="W26" s="770"/>
      <c r="X26" s="771"/>
      <c r="Y26" s="3337"/>
      <c r="Z26" s="55"/>
      <c r="AA26" s="772">
        <v>1</v>
      </c>
      <c r="AB26" s="772">
        <v>1</v>
      </c>
      <c r="AC26" s="772">
        <v>1</v>
      </c>
    </row>
    <row r="27" spans="1:29" ht="15">
      <c r="A27" s="427"/>
      <c r="B27" s="631" t="s">
        <v>2637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3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337"/>
      <c r="Z27" s="1815" t="str">
        <f t="shared" ref="Z27:Z40" si="13">Q27</f>
        <v>临街状况</v>
      </c>
      <c r="AA27" s="1812">
        <f t="shared" si="3"/>
        <v>1</v>
      </c>
      <c r="AB27" s="1812">
        <f t="shared" si="4"/>
        <v>1</v>
      </c>
      <c r="AC27" s="1812">
        <f t="shared" si="5"/>
        <v>1</v>
      </c>
    </row>
    <row r="28" spans="1:29" ht="27">
      <c r="A28" s="427"/>
      <c r="B28" s="632" t="s">
        <v>2672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37"/>
      <c r="Q28" s="1811" t="str">
        <f t="shared" si="8"/>
        <v>毗邻道路的类型与等级</v>
      </c>
      <c r="R28" s="773" t="s">
        <v>17</v>
      </c>
      <c r="S28" s="774">
        <f t="shared" si="10"/>
        <v>100</v>
      </c>
      <c r="T28" s="773" t="s">
        <v>17</v>
      </c>
      <c r="U28" s="774">
        <f t="shared" si="11"/>
        <v>100</v>
      </c>
      <c r="V28" s="773" t="s">
        <v>17</v>
      </c>
      <c r="W28" s="774">
        <f t="shared" si="12"/>
        <v>100</v>
      </c>
      <c r="X28" s="1814"/>
      <c r="Y28" s="3337"/>
      <c r="Z28" s="1815" t="str">
        <f t="shared" si="13"/>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2"/>
      <c r="M29" s="1133"/>
      <c r="N29" s="1133"/>
      <c r="O29" s="1141"/>
      <c r="P29" s="3337"/>
      <c r="Q29" s="1811"/>
      <c r="R29" s="773"/>
      <c r="S29" s="774"/>
      <c r="T29" s="773"/>
      <c r="U29" s="774"/>
      <c r="V29" s="773"/>
      <c r="W29" s="774"/>
      <c r="X29" s="1814"/>
      <c r="Y29" s="3337"/>
      <c r="Z29" s="1815"/>
      <c r="AA29" s="1812">
        <v>1</v>
      </c>
      <c r="AB29" s="1812">
        <v>1</v>
      </c>
      <c r="AC29" s="1812">
        <v>1</v>
      </c>
    </row>
    <row r="30" spans="1:29" ht="15">
      <c r="A30" s="427"/>
      <c r="B30" s="653" t="s">
        <v>2731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37"/>
      <c r="Q30" s="1811" t="str">
        <f t="shared" si="8"/>
        <v>土地级别</v>
      </c>
      <c r="R30" s="773" t="s">
        <v>17</v>
      </c>
      <c r="S30" s="774">
        <f t="shared" si="10"/>
        <v>100</v>
      </c>
      <c r="T30" s="773" t="s">
        <v>17</v>
      </c>
      <c r="U30" s="774">
        <f t="shared" si="11"/>
        <v>100</v>
      </c>
      <c r="V30" s="773" t="s">
        <v>17</v>
      </c>
      <c r="W30" s="774">
        <f t="shared" si="12"/>
        <v>100</v>
      </c>
      <c r="X30" s="1814"/>
      <c r="Y30" s="3337"/>
      <c r="Z30" s="1815" t="str">
        <f t="shared" si="13"/>
        <v>土地级别</v>
      </c>
      <c r="AA30" s="1812">
        <f t="shared" si="3"/>
        <v>1</v>
      </c>
      <c r="AB30" s="1812">
        <f t="shared" si="4"/>
        <v>1</v>
      </c>
      <c r="AC30" s="1812">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37"/>
      <c r="Q31" s="1811">
        <f t="shared" si="8"/>
        <v>111</v>
      </c>
      <c r="R31" s="773" t="s">
        <v>17</v>
      </c>
      <c r="S31" s="774">
        <f t="shared" si="10"/>
        <v>100</v>
      </c>
      <c r="T31" s="773" t="s">
        <v>17</v>
      </c>
      <c r="U31" s="774">
        <f t="shared" si="11"/>
        <v>100</v>
      </c>
      <c r="V31" s="773" t="s">
        <v>17</v>
      </c>
      <c r="W31" s="774">
        <f t="shared" si="12"/>
        <v>100</v>
      </c>
      <c r="X31" s="1814"/>
      <c r="Y31" s="3337"/>
      <c r="Z31" s="1815">
        <f t="shared" si="13"/>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38" t="s">
        <v>2546</v>
      </c>
      <c r="Q32" s="1811">
        <f t="shared" si="8"/>
        <v>111</v>
      </c>
      <c r="R32" s="773" t="s">
        <v>17</v>
      </c>
      <c r="S32" s="774">
        <f t="shared" si="10"/>
        <v>100</v>
      </c>
      <c r="T32" s="773" t="s">
        <v>17</v>
      </c>
      <c r="U32" s="774">
        <f t="shared" si="11"/>
        <v>100</v>
      </c>
      <c r="V32" s="773" t="s">
        <v>17</v>
      </c>
      <c r="W32" s="774">
        <f t="shared" si="12"/>
        <v>100</v>
      </c>
      <c r="X32" s="1814"/>
      <c r="Y32" s="3339" t="s">
        <v>2546</v>
      </c>
      <c r="Z32" s="1815">
        <f t="shared" si="13"/>
        <v>111</v>
      </c>
      <c r="AA32" s="1812">
        <f t="shared" si="3"/>
        <v>1</v>
      </c>
      <c r="AB32" s="1812">
        <f t="shared" si="4"/>
        <v>1</v>
      </c>
      <c r="AC32" s="1812">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39"/>
      <c r="Q33" s="1811">
        <f t="shared" si="8"/>
        <v>111</v>
      </c>
      <c r="R33" s="776" t="s">
        <v>17</v>
      </c>
      <c r="S33" s="777">
        <f t="shared" si="10"/>
        <v>100</v>
      </c>
      <c r="T33" s="776" t="s">
        <v>17</v>
      </c>
      <c r="U33" s="777">
        <f t="shared" si="11"/>
        <v>100</v>
      </c>
      <c r="V33" s="776" t="s">
        <v>17</v>
      </c>
      <c r="W33" s="777">
        <f t="shared" si="12"/>
        <v>100</v>
      </c>
      <c r="X33" s="778"/>
      <c r="Y33" s="3339"/>
      <c r="Z33" s="779">
        <f t="shared" si="13"/>
        <v>111</v>
      </c>
      <c r="AA33" s="1812">
        <f t="shared" si="3"/>
        <v>1</v>
      </c>
      <c r="AB33" s="1812">
        <f t="shared" si="4"/>
        <v>1</v>
      </c>
      <c r="AC33" s="1812">
        <f t="shared" si="5"/>
        <v>1</v>
      </c>
    </row>
    <row r="34" spans="1:29" ht="15">
      <c r="A34" s="439" t="s">
        <v>2544</v>
      </c>
      <c r="B34" s="455" t="s">
        <v>2732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39"/>
      <c r="Q34" s="1811" t="str">
        <f>B34</f>
        <v>宗地面积</v>
      </c>
      <c r="R34" s="773" t="s">
        <v>17</v>
      </c>
      <c r="S34" s="774" t="e">
        <f t="shared" si="10"/>
        <v>#N/A</v>
      </c>
      <c r="T34" s="773" t="s">
        <v>17</v>
      </c>
      <c r="U34" s="774" t="e">
        <f t="shared" si="11"/>
        <v>#N/A</v>
      </c>
      <c r="V34" s="773" t="s">
        <v>17</v>
      </c>
      <c r="W34" s="774" t="e">
        <f t="shared" si="12"/>
        <v>#N/A</v>
      </c>
      <c r="X34" s="1814"/>
      <c r="Y34" s="3339"/>
      <c r="Z34" s="1815" t="str">
        <f t="shared" si="13"/>
        <v>宗地面积</v>
      </c>
      <c r="AA34" s="1812" t="e">
        <f t="shared" si="3"/>
        <v>#N/A</v>
      </c>
      <c r="AB34" s="1812" t="e">
        <f t="shared" si="4"/>
        <v>#N/A</v>
      </c>
      <c r="AC34" s="1812" t="e">
        <f t="shared" si="5"/>
        <v>#N/A</v>
      </c>
    </row>
    <row r="35" spans="1:29" ht="15">
      <c r="A35" s="471"/>
      <c r="B35" s="421" t="s">
        <v>2733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339"/>
      <c r="Q35" s="1811" t="str">
        <f t="shared" ref="Q35:Q40" si="14">B35</f>
        <v>宗地形状</v>
      </c>
      <c r="R35" s="773" t="s">
        <v>17</v>
      </c>
      <c r="S35" s="774">
        <f t="shared" si="10"/>
        <v>100</v>
      </c>
      <c r="T35" s="773" t="s">
        <v>17</v>
      </c>
      <c r="U35" s="774">
        <f t="shared" si="11"/>
        <v>100</v>
      </c>
      <c r="V35" s="773" t="s">
        <v>17</v>
      </c>
      <c r="W35" s="774">
        <f t="shared" si="12"/>
        <v>100</v>
      </c>
      <c r="X35" s="1814"/>
      <c r="Y35" s="3339"/>
      <c r="Z35" s="1815" t="str">
        <f t="shared" si="13"/>
        <v>宗地形状</v>
      </c>
      <c r="AA35" s="1812">
        <f t="shared" si="3"/>
        <v>1</v>
      </c>
      <c r="AB35" s="1812">
        <f t="shared" si="4"/>
        <v>1</v>
      </c>
      <c r="AC35" s="1812">
        <f t="shared" si="5"/>
        <v>1</v>
      </c>
    </row>
    <row r="36" spans="1:29" s="116" customFormat="1" ht="15">
      <c r="A36" s="472"/>
      <c r="B36" s="421" t="s">
        <v>2735</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339"/>
      <c r="Q36" s="1811" t="str">
        <f t="shared" si="14"/>
        <v>宗地开发程度</v>
      </c>
      <c r="R36" s="769" t="s">
        <v>17</v>
      </c>
      <c r="S36" s="770">
        <f t="shared" si="10"/>
        <v>100</v>
      </c>
      <c r="T36" s="769" t="s">
        <v>17</v>
      </c>
      <c r="U36" s="770">
        <f t="shared" si="11"/>
        <v>100</v>
      </c>
      <c r="V36" s="769" t="s">
        <v>17</v>
      </c>
      <c r="W36" s="770">
        <f t="shared" si="12"/>
        <v>100</v>
      </c>
      <c r="X36" s="771"/>
      <c r="Y36" s="3339"/>
      <c r="Z36" s="55" t="str">
        <f t="shared" si="13"/>
        <v>宗地开发程度</v>
      </c>
      <c r="AA36" s="772">
        <f t="shared" si="3"/>
        <v>1</v>
      </c>
      <c r="AB36" s="772">
        <f t="shared" si="4"/>
        <v>1</v>
      </c>
      <c r="AC36" s="772">
        <f t="shared" si="5"/>
        <v>1</v>
      </c>
    </row>
    <row r="37" spans="1:29" ht="15">
      <c r="A37" s="471"/>
      <c r="B37" s="421" t="s">
        <v>2736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339" t="s">
        <v>2546</v>
      </c>
      <c r="Q37" s="1811" t="str">
        <f t="shared" si="14"/>
        <v>工程地质条件</v>
      </c>
      <c r="R37" s="773" t="s">
        <v>17</v>
      </c>
      <c r="S37" s="774">
        <f t="shared" si="10"/>
        <v>100</v>
      </c>
      <c r="T37" s="773" t="s">
        <v>17</v>
      </c>
      <c r="U37" s="774">
        <f t="shared" si="11"/>
        <v>100</v>
      </c>
      <c r="V37" s="773" t="s">
        <v>17</v>
      </c>
      <c r="W37" s="774">
        <f t="shared" si="12"/>
        <v>100</v>
      </c>
      <c r="X37" s="1814"/>
      <c r="Y37" s="3339" t="s">
        <v>2546</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39"/>
      <c r="Q38" s="1811">
        <f t="shared" si="14"/>
        <v>111</v>
      </c>
      <c r="R38" s="773" t="s">
        <v>17</v>
      </c>
      <c r="S38" s="774">
        <f t="shared" si="10"/>
        <v>100</v>
      </c>
      <c r="T38" s="773" t="s">
        <v>17</v>
      </c>
      <c r="U38" s="774">
        <f t="shared" si="11"/>
        <v>100</v>
      </c>
      <c r="V38" s="773" t="s">
        <v>17</v>
      </c>
      <c r="W38" s="774">
        <f t="shared" si="12"/>
        <v>100</v>
      </c>
      <c r="X38" s="1814"/>
      <c r="Y38" s="3339"/>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39"/>
      <c r="Q39" s="1811">
        <f t="shared" si="14"/>
        <v>111</v>
      </c>
      <c r="R39" s="773" t="s">
        <v>17</v>
      </c>
      <c r="S39" s="774">
        <f t="shared" si="10"/>
        <v>100</v>
      </c>
      <c r="T39" s="773" t="s">
        <v>17</v>
      </c>
      <c r="U39" s="774">
        <f t="shared" si="11"/>
        <v>100</v>
      </c>
      <c r="V39" s="773" t="s">
        <v>17</v>
      </c>
      <c r="W39" s="774">
        <f t="shared" si="12"/>
        <v>100</v>
      </c>
      <c r="X39" s="1814"/>
      <c r="Y39" s="3339"/>
      <c r="Z39" s="1815">
        <f t="shared" si="13"/>
        <v>111</v>
      </c>
      <c r="AA39" s="1812">
        <f t="shared" si="3"/>
        <v>1</v>
      </c>
      <c r="AB39" s="1812">
        <f t="shared" si="4"/>
        <v>1</v>
      </c>
      <c r="AC39" s="1812">
        <f t="shared" si="5"/>
        <v>1</v>
      </c>
    </row>
    <row r="40" spans="1:29" s="470" customFormat="1" ht="15.75" thickBot="1">
      <c r="A40" s="467"/>
      <c r="B40" s="1389">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39"/>
      <c r="Q40" s="1811">
        <f t="shared" si="14"/>
        <v>111</v>
      </c>
      <c r="R40" s="776" t="s">
        <v>17</v>
      </c>
      <c r="S40" s="777">
        <f t="shared" si="10"/>
        <v>100</v>
      </c>
      <c r="T40" s="776" t="s">
        <v>17</v>
      </c>
      <c r="U40" s="777">
        <f t="shared" si="11"/>
        <v>100</v>
      </c>
      <c r="V40" s="776" t="s">
        <v>17</v>
      </c>
      <c r="W40" s="777">
        <f t="shared" si="12"/>
        <v>100</v>
      </c>
      <c r="X40" s="778"/>
      <c r="Y40" s="3339"/>
      <c r="Z40" s="779">
        <f t="shared" si="13"/>
        <v>111</v>
      </c>
      <c r="AA40" s="1812">
        <f t="shared" si="3"/>
        <v>1</v>
      </c>
      <c r="AB40" s="1812">
        <f t="shared" si="4"/>
        <v>1</v>
      </c>
      <c r="AC40" s="1812">
        <f t="shared" si="5"/>
        <v>1</v>
      </c>
    </row>
    <row r="41" spans="1:29" ht="15">
      <c r="A41" s="478" t="s">
        <v>2701</v>
      </c>
      <c r="B41" s="2703" t="s">
        <v>2780</v>
      </c>
      <c r="C41" s="681" t="s">
        <v>1</v>
      </c>
      <c r="D41" s="480"/>
      <c r="E41" s="481"/>
      <c r="F41" s="482"/>
      <c r="G41" s="483"/>
      <c r="H41" s="484"/>
      <c r="I41" s="481"/>
      <c r="J41" s="484"/>
      <c r="K41" s="782"/>
      <c r="L41" s="1145"/>
      <c r="M41" s="1133"/>
      <c r="N41" s="1133"/>
      <c r="O41" s="1146"/>
      <c r="P41" s="3334" t="str">
        <f>A41</f>
        <v>成交单价</v>
      </c>
      <c r="Q41" s="3334"/>
      <c r="R41" s="3340">
        <f>E41</f>
        <v>0</v>
      </c>
      <c r="S41" s="3340"/>
      <c r="T41" s="3340">
        <f>G41</f>
        <v>0</v>
      </c>
      <c r="U41" s="3340"/>
      <c r="V41" s="3340">
        <f>I41</f>
        <v>0</v>
      </c>
      <c r="W41" s="3340"/>
      <c r="X41" s="758"/>
      <c r="Y41" s="780"/>
      <c r="Z41" s="758"/>
      <c r="AA41" s="758"/>
      <c r="AB41" s="758"/>
      <c r="AC41" s="758"/>
    </row>
    <row r="42" spans="1:29" ht="15.75" thickBot="1">
      <c r="A42" s="485" t="s">
        <v>2650</v>
      </c>
      <c r="B42" s="682"/>
      <c r="C42" s="489" t="e">
        <f>R43</f>
        <v>#DIV/0!</v>
      </c>
      <c r="D42" s="488"/>
      <c r="E42" s="489" t="e">
        <f>R42</f>
        <v>#DIV/0!</v>
      </c>
      <c r="F42" s="490"/>
      <c r="G42" s="487" t="e">
        <f>T42</f>
        <v>#DIV/0!</v>
      </c>
      <c r="H42" s="488"/>
      <c r="I42" s="489" t="e">
        <f>V42</f>
        <v>#DIV/0!</v>
      </c>
      <c r="J42" s="488"/>
      <c r="K42" s="783"/>
      <c r="L42" s="1145"/>
      <c r="M42" s="1133"/>
      <c r="N42" s="1133"/>
      <c r="O42" s="1146"/>
      <c r="P42" s="3334" t="str">
        <f>A42</f>
        <v>比较价值（元/平方米）</v>
      </c>
      <c r="Q42" s="3334"/>
      <c r="R42" s="3327" t="e">
        <f>ROUND(PRODUCT(R41,AA7:AA40),0)</f>
        <v>#DIV/0!</v>
      </c>
      <c r="S42" s="3327"/>
      <c r="T42" s="3327" t="e">
        <f>ROUND(PRODUCT(T41,AB7:AB40),0)</f>
        <v>#DIV/0!</v>
      </c>
      <c r="U42" s="3327"/>
      <c r="V42" s="3327" t="e">
        <f>ROUND(PRODUCT(V41,AC7:AC40),0)</f>
        <v>#DIV/0!</v>
      </c>
      <c r="W42" s="3327"/>
      <c r="X42" s="758"/>
      <c r="Y42" s="758"/>
      <c r="Z42" s="758"/>
      <c r="AA42" s="758"/>
      <c r="AB42" s="758"/>
      <c r="AC42" s="758"/>
    </row>
    <row r="43" spans="1:29" ht="15.75" thickBot="1">
      <c r="A43" s="491" t="s">
        <v>2651</v>
      </c>
      <c r="B43" s="492"/>
      <c r="C43" s="493" t="e">
        <f>R43</f>
        <v>#DIV/0!</v>
      </c>
      <c r="D43" s="493"/>
      <c r="E43" s="493"/>
      <c r="F43" s="493"/>
      <c r="G43" s="493"/>
      <c r="H43" s="493"/>
      <c r="I43" s="493"/>
      <c r="J43" s="493"/>
      <c r="K43" s="784"/>
      <c r="L43" s="1145"/>
      <c r="M43" s="1133"/>
      <c r="N43" s="1133"/>
      <c r="O43" s="1146"/>
      <c r="P43" s="3328" t="str">
        <f>A43</f>
        <v>估价对象XX用房的比较价值（楼面单价，元/平方米）</v>
      </c>
      <c r="Q43" s="3329"/>
      <c r="R43" s="3330" t="e">
        <f>ROUND(AVERAGE(R42:V42),0)</f>
        <v>#DIV/0!</v>
      </c>
      <c r="S43" s="3330"/>
      <c r="T43" s="3330"/>
      <c r="U43" s="3330"/>
      <c r="V43" s="3330"/>
      <c r="W43" s="333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2738</v>
      </c>
      <c r="B50" s="684" t="s">
        <v>2739</v>
      </c>
      <c r="C50" s="2704" t="s">
        <v>2740</v>
      </c>
      <c r="D50" s="2705" t="s">
        <v>2741</v>
      </c>
      <c r="E50" s="685" t="s">
        <v>2742</v>
      </c>
      <c r="F50" s="686" t="s">
        <v>2743</v>
      </c>
      <c r="G50" s="3331" t="s">
        <v>2744</v>
      </c>
      <c r="H50" s="3332"/>
      <c r="I50" s="1815" t="s">
        <v>2781</v>
      </c>
      <c r="J50" s="1815">
        <f>项目基本情况!F35</f>
        <v>0</v>
      </c>
      <c r="K50" s="2707" t="s">
        <v>2746</v>
      </c>
      <c r="L50" s="1108"/>
      <c r="M50" s="1146"/>
      <c r="N50" s="1146"/>
      <c r="O50" s="1146"/>
    </row>
    <row r="51" spans="1:17" s="691" customFormat="1">
      <c r="A51" s="687" t="s">
        <v>2747</v>
      </c>
      <c r="B51" s="688" t="e">
        <f>C43</f>
        <v>#DIV/0!</v>
      </c>
      <c r="C51" s="689">
        <v>1</v>
      </c>
      <c r="D51" s="1165">
        <v>1</v>
      </c>
      <c r="E51" s="689">
        <f>'数据-汇总表'!E8+'数据-汇总表'!E9</f>
        <v>86801.15</v>
      </c>
      <c r="F51" s="690" t="e">
        <f t="shared" ref="F51:F60" si="15">ROUND(B51*E51/10000,0)</f>
        <v>#DIV/0!</v>
      </c>
      <c r="G51" s="3333"/>
      <c r="H51" s="3334"/>
      <c r="I51" s="944">
        <v>1</v>
      </c>
      <c r="J51" s="944">
        <v>1</v>
      </c>
      <c r="K51" s="1147"/>
      <c r="L51" s="943"/>
      <c r="M51" s="943"/>
      <c r="N51" s="943"/>
      <c r="O51" s="943"/>
    </row>
    <row r="52" spans="1:17" s="691" customFormat="1">
      <c r="A52" s="692" t="s">
        <v>2748</v>
      </c>
      <c r="B52" s="261" t="e">
        <f>ROUND($C$43*C52*D52,0)</f>
        <v>#DIV/0!</v>
      </c>
      <c r="C52" s="199">
        <f t="shared" ref="C52:C60" si="16">IF($C$50="北京市系数",I52,J52)</f>
        <v>0.6</v>
      </c>
      <c r="D52" s="1166">
        <v>0.25</v>
      </c>
      <c r="E52" s="693"/>
      <c r="F52" s="690" t="e">
        <f t="shared" si="15"/>
        <v>#DIV/0!</v>
      </c>
      <c r="G52" s="3335" t="s">
        <v>2749</v>
      </c>
      <c r="H52" s="1106" t="str">
        <f>项目基本情况!B37</f>
        <v>八级</v>
      </c>
      <c r="I52" s="944">
        <f>SUMIF(修正!A45:A56,H52,修正!B45:B56)</f>
        <v>0.6</v>
      </c>
      <c r="J52" s="945"/>
      <c r="K52" s="1146"/>
      <c r="L52" s="943"/>
      <c r="M52" s="943"/>
      <c r="N52" s="943"/>
      <c r="O52" s="943"/>
    </row>
    <row r="53" spans="1:17" s="691" customFormat="1">
      <c r="A53" s="692" t="s">
        <v>2750</v>
      </c>
      <c r="B53" s="261" t="e">
        <f t="shared" ref="B53:B60" si="17">ROUND($C$43*C53*D53,0)</f>
        <v>#DIV/0!</v>
      </c>
      <c r="C53" s="199">
        <f t="shared" si="16"/>
        <v>0.3</v>
      </c>
      <c r="D53" s="1166">
        <v>0.25</v>
      </c>
      <c r="E53" s="693"/>
      <c r="F53" s="690" t="e">
        <f t="shared" si="15"/>
        <v>#DIV/0!</v>
      </c>
      <c r="G53" s="3335"/>
      <c r="H53" s="1106" t="str">
        <f>项目基本情况!B37</f>
        <v>八级</v>
      </c>
      <c r="I53" s="944">
        <f>SUMIF(修正!A45:A56,H53,修正!C45:C56)</f>
        <v>0.3</v>
      </c>
      <c r="J53" s="945"/>
      <c r="K53" s="1147"/>
      <c r="L53" s="943"/>
      <c r="M53" s="943"/>
      <c r="N53" s="943"/>
      <c r="O53" s="943"/>
    </row>
    <row r="54" spans="1:17" s="691" customFormat="1">
      <c r="A54" s="692" t="s">
        <v>2751</v>
      </c>
      <c r="B54" s="261" t="e">
        <f t="shared" si="17"/>
        <v>#DIV/0!</v>
      </c>
      <c r="C54" s="199">
        <f t="shared" si="16"/>
        <v>0.2</v>
      </c>
      <c r="D54" s="1166">
        <v>0.25</v>
      </c>
      <c r="E54" s="693"/>
      <c r="F54" s="690" t="e">
        <f t="shared" si="15"/>
        <v>#DIV/0!</v>
      </c>
      <c r="G54" s="3335"/>
      <c r="H54" s="1106" t="str">
        <f>项目基本情况!B37</f>
        <v>八级</v>
      </c>
      <c r="I54" s="944">
        <f>SUMIF(修正!A45:A56,H54,修正!D45:D56)</f>
        <v>0.2</v>
      </c>
      <c r="J54" s="945"/>
      <c r="K54" s="1146"/>
      <c r="L54" s="943"/>
      <c r="M54" s="943"/>
      <c r="N54" s="943"/>
      <c r="O54" s="943"/>
    </row>
    <row r="55" spans="1:17" s="691" customFormat="1">
      <c r="A55" s="692" t="s">
        <v>2752</v>
      </c>
      <c r="B55" s="261" t="e">
        <f t="shared" si="17"/>
        <v>#DIV/0!</v>
      </c>
      <c r="C55" s="199">
        <f t="shared" si="16"/>
        <v>0.2</v>
      </c>
      <c r="D55" s="1166">
        <v>0.25</v>
      </c>
      <c r="E55" s="693"/>
      <c r="F55" s="690" t="e">
        <f t="shared" si="15"/>
        <v>#DIV/0!</v>
      </c>
      <c r="G55" s="3335"/>
      <c r="H55" s="1106" t="str">
        <f>项目基本情况!B37</f>
        <v>八级</v>
      </c>
      <c r="I55" s="944">
        <f>SUMIF(修正!A45:A56,H55,修正!E45:E56)</f>
        <v>0.2</v>
      </c>
      <c r="J55" s="945"/>
      <c r="K55" s="1147"/>
      <c r="L55" s="943"/>
      <c r="M55" s="943"/>
      <c r="N55" s="943"/>
      <c r="O55" s="943"/>
    </row>
    <row r="56" spans="1:17" s="691" customFormat="1">
      <c r="A56" s="692" t="s">
        <v>2753</v>
      </c>
      <c r="B56" s="261" t="e">
        <f t="shared" si="17"/>
        <v>#DIV/0!</v>
      </c>
      <c r="C56" s="199">
        <f t="shared" si="16"/>
        <v>0.2</v>
      </c>
      <c r="D56" s="1166">
        <v>0.25</v>
      </c>
      <c r="E56" s="260">
        <f>'数据-汇总表'!E11</f>
        <v>50</v>
      </c>
      <c r="F56" s="690" t="e">
        <f t="shared" si="15"/>
        <v>#DIV/0!</v>
      </c>
      <c r="G56" s="2708" t="s">
        <v>2754</v>
      </c>
      <c r="H56" s="1106" t="str">
        <f>项目基本情况!C37</f>
        <v>八级</v>
      </c>
      <c r="I56" s="944">
        <f>SUMIF(修正!A45:A56,H56,修正!F45:F56)</f>
        <v>0.2</v>
      </c>
      <c r="J56" s="945"/>
      <c r="K56" s="1146"/>
      <c r="L56" s="943"/>
      <c r="M56" s="943"/>
      <c r="N56" s="943"/>
      <c r="O56" s="943"/>
    </row>
    <row r="57" spans="1:17" s="691" customFormat="1">
      <c r="A57" s="692" t="s">
        <v>2755</v>
      </c>
      <c r="B57" s="261" t="e">
        <f t="shared" si="17"/>
        <v>#DIV/0!</v>
      </c>
      <c r="C57" s="199">
        <f t="shared" si="16"/>
        <v>0.2</v>
      </c>
      <c r="D57" s="1166">
        <v>0.25</v>
      </c>
      <c r="E57" s="260">
        <f>'数据-汇总表'!E12</f>
        <v>89424.37</v>
      </c>
      <c r="F57" s="690" t="e">
        <f t="shared" si="15"/>
        <v>#DIV/0!</v>
      </c>
      <c r="G57" s="1111" t="s">
        <v>2756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2757</v>
      </c>
      <c r="B58" s="261" t="e">
        <f t="shared" si="17"/>
        <v>#DIV/0!</v>
      </c>
      <c r="C58" s="199">
        <f t="shared" si="16"/>
        <v>0.15</v>
      </c>
      <c r="D58" s="1166">
        <v>0.25</v>
      </c>
      <c r="E58" s="260">
        <f>'数据-汇总表'!E13</f>
        <v>36043.919999999998</v>
      </c>
      <c r="F58" s="690" t="e">
        <f t="shared" si="15"/>
        <v>#DIV/0!</v>
      </c>
      <c r="G58" s="1111" t="s">
        <v>2758</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2759</v>
      </c>
      <c r="B59" s="261" t="e">
        <f t="shared" si="17"/>
        <v>#DIV/0!</v>
      </c>
      <c r="C59" s="199">
        <f t="shared" si="16"/>
        <v>0.15</v>
      </c>
      <c r="D59" s="1166">
        <v>0.25</v>
      </c>
      <c r="E59" s="260">
        <f>'数据-汇总表'!E14</f>
        <v>0</v>
      </c>
      <c r="F59" s="690" t="e">
        <f t="shared" si="15"/>
        <v>#DIV/0!</v>
      </c>
      <c r="G59" s="2708" t="s">
        <v>2749</v>
      </c>
      <c r="H59" s="1106" t="str">
        <f>项目基本情况!B37</f>
        <v>八级</v>
      </c>
      <c r="I59" s="944">
        <f>SUMIF(修正!A45:A56,H59,修正!H45:H56)</f>
        <v>0.15</v>
      </c>
      <c r="J59" s="945"/>
      <c r="K59" s="1147"/>
      <c r="L59" s="943"/>
      <c r="M59" s="943"/>
      <c r="N59" s="943"/>
      <c r="O59" s="943"/>
    </row>
    <row r="60" spans="1:17" s="691" customFormat="1" ht="15" thickBot="1">
      <c r="A60" s="692" t="s">
        <v>2760</v>
      </c>
      <c r="B60" s="261" t="e">
        <f t="shared" si="17"/>
        <v>#DIV/0!</v>
      </c>
      <c r="C60" s="199">
        <f t="shared" si="16"/>
        <v>0.15</v>
      </c>
      <c r="D60" s="1166">
        <v>0.25</v>
      </c>
      <c r="E60" s="260">
        <f>'数据-汇总表'!E15</f>
        <v>0</v>
      </c>
      <c r="F60" s="690" t="e">
        <f t="shared" si="15"/>
        <v>#DIV/0!</v>
      </c>
      <c r="G60" s="2709" t="s">
        <v>2754</v>
      </c>
      <c r="H60" s="1116" t="str">
        <f>项目基本情况!C37</f>
        <v>八级</v>
      </c>
      <c r="I60" s="944">
        <f>SUMIF(修正!A45:A56,H60,修正!H45:H56)</f>
        <v>0.15</v>
      </c>
      <c r="J60" s="945"/>
      <c r="K60" s="1146"/>
      <c r="L60" s="943"/>
      <c r="M60" s="943"/>
      <c r="N60" s="943"/>
      <c r="O60" s="943"/>
    </row>
    <row r="61" spans="1:17" s="691" customFormat="1" ht="15" thickBot="1">
      <c r="A61" s="694" t="s">
        <v>2761</v>
      </c>
      <c r="B61" s="695" t="s">
        <v>28</v>
      </c>
      <c r="C61" s="695" t="s">
        <v>29</v>
      </c>
      <c r="D61" s="695" t="s">
        <v>1026</v>
      </c>
      <c r="E61" s="695">
        <f>IF(B41="楼面地价",SUM(E51:E60),'数据-汇总表'!D3)</f>
        <v>82881.19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2655</v>
      </c>
      <c r="B64" s="758"/>
      <c r="C64" s="763"/>
      <c r="D64" s="763"/>
      <c r="E64" s="763"/>
      <c r="F64" s="764"/>
      <c r="G64" s="764"/>
      <c r="H64" s="763"/>
      <c r="I64" s="763"/>
      <c r="J64" s="763"/>
      <c r="K64" s="765"/>
      <c r="L64" s="766"/>
      <c r="M64" s="763"/>
      <c r="N64" s="763"/>
      <c r="O64" s="1161"/>
      <c r="P64" s="502"/>
      <c r="Q64" s="503"/>
    </row>
    <row r="65" spans="1:17" s="507" customFormat="1" ht="15">
      <c r="A65" s="2710" t="s">
        <v>2762</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5" t="s">
        <v>2782</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2566</v>
      </c>
      <c r="B67" s="515"/>
      <c r="C67" s="516"/>
      <c r="D67" s="517"/>
      <c r="E67" s="517"/>
      <c r="F67" s="517"/>
      <c r="G67" s="517"/>
      <c r="H67" s="517"/>
      <c r="I67" s="517"/>
      <c r="J67" s="517"/>
      <c r="K67" s="517"/>
      <c r="L67" s="517"/>
      <c r="M67" s="518"/>
      <c r="N67" s="518"/>
      <c r="O67" s="519"/>
      <c r="P67" s="503"/>
      <c r="Q67" s="503"/>
    </row>
    <row r="68" spans="1:17" s="116" customFormat="1" ht="15">
      <c r="A68" s="520" t="s">
        <v>2531</v>
      </c>
      <c r="B68" s="509"/>
      <c r="C68" s="521" t="s">
        <v>2633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2569</v>
      </c>
      <c r="B70" s="527" t="s">
        <v>2535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2538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2539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2540</v>
      </c>
      <c r="B83" s="527" t="s">
        <v>2686</v>
      </c>
      <c r="C83" s="572" t="s">
        <v>2578</v>
      </c>
      <c r="D83" s="572" t="s">
        <v>2579</v>
      </c>
      <c r="E83" s="572" t="s">
        <v>2580</v>
      </c>
      <c r="F83" s="572" t="s">
        <v>2581</v>
      </c>
      <c r="G83" s="572" t="s">
        <v>2582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2583</v>
      </c>
      <c r="C85" s="577" t="s">
        <v>2578</v>
      </c>
      <c r="D85" s="577" t="s">
        <v>2579</v>
      </c>
      <c r="E85" s="577" t="s">
        <v>2580</v>
      </c>
      <c r="F85" s="577" t="s">
        <v>2581</v>
      </c>
      <c r="G85" s="577" t="s">
        <v>2582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2765</v>
      </c>
      <c r="C87" s="572" t="s">
        <v>2578</v>
      </c>
      <c r="D87" s="572" t="s">
        <v>2579</v>
      </c>
      <c r="E87" s="572" t="s">
        <v>2580</v>
      </c>
      <c r="F87" s="572" t="s">
        <v>2581</v>
      </c>
      <c r="G87" s="572" t="s">
        <v>2582</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2766</v>
      </c>
      <c r="C89" s="572" t="s">
        <v>2578</v>
      </c>
      <c r="D89" s="572" t="s">
        <v>2579</v>
      </c>
      <c r="E89" s="572" t="s">
        <v>2580</v>
      </c>
      <c r="F89" s="572" t="s">
        <v>2581</v>
      </c>
      <c r="G89" s="572" t="s">
        <v>2582</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2635</v>
      </c>
      <c r="C91" s="572" t="s">
        <v>2578</v>
      </c>
      <c r="D91" s="572" t="s">
        <v>2579</v>
      </c>
      <c r="E91" s="572" t="s">
        <v>2580</v>
      </c>
      <c r="F91" s="572" t="s">
        <v>2581</v>
      </c>
      <c r="G91" s="572" t="s">
        <v>2582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2783</v>
      </c>
      <c r="C93" s="659" t="s">
        <v>2656</v>
      </c>
      <c r="D93" s="659" t="s">
        <v>2657</v>
      </c>
      <c r="E93" s="659" t="s">
        <v>2658</v>
      </c>
      <c r="F93" s="659" t="s">
        <v>2659</v>
      </c>
      <c r="G93" s="659" t="s">
        <v>2660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2767</v>
      </c>
      <c r="D95" s="538" t="s">
        <v>2768</v>
      </c>
      <c r="E95" s="538" t="s">
        <v>2769</v>
      </c>
      <c r="F95" s="538" t="s">
        <v>2770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2544</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20" sqref="I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39" t="s">
        <v>2784</v>
      </c>
      <c r="B1" s="240"/>
      <c r="C1" s="244" t="s">
        <v>2785</v>
      </c>
      <c r="D1" s="387">
        <f>SUM(D29:D30,D33:D39)</f>
        <v>0</v>
      </c>
      <c r="E1" s="2716"/>
      <c r="F1" s="2716"/>
      <c r="G1" s="2716"/>
      <c r="H1" s="2716"/>
      <c r="I1" s="2716"/>
      <c r="J1" s="2716"/>
      <c r="K1" s="1372"/>
      <c r="L1" s="2717" t="s">
        <v>2786</v>
      </c>
      <c r="M1" s="1082">
        <f>SUMPRODUCT((区片价!B5:B9=I2)*(区片价!C3:F3=E2)*(区片价!C5:F9))</f>
        <v>0</v>
      </c>
      <c r="N1" s="1085">
        <f>SUMPRODUCT((因素修正幅度!B5:B9=I2)*(因素修正幅度!C3:F3=E2)*(因素修正幅度!C5:F9))</f>
        <v>0</v>
      </c>
      <c r="O1" s="2718"/>
      <c r="P1" s="2718"/>
      <c r="Q1" s="1372"/>
      <c r="R1" s="1603" t="s">
        <v>2787</v>
      </c>
      <c r="S1" s="1603" t="s">
        <v>2788</v>
      </c>
      <c r="T1" s="1603" t="s">
        <v>2789</v>
      </c>
      <c r="U1" s="1603" t="s">
        <v>2790</v>
      </c>
      <c r="V1" s="1603" t="s">
        <v>2791</v>
      </c>
      <c r="W1" s="1607"/>
      <c r="X1" s="1607"/>
      <c r="Y1" s="1607"/>
      <c r="Z1" s="1607"/>
      <c r="AA1" s="1607"/>
      <c r="AB1" s="1607"/>
      <c r="AC1" s="1608"/>
      <c r="AD1" s="1609"/>
      <c r="AE1" s="1609"/>
      <c r="AF1" s="1609"/>
      <c r="AG1" s="1609"/>
      <c r="AH1" s="1609"/>
      <c r="AI1" s="1609"/>
      <c r="AJ1" s="1610"/>
    </row>
    <row r="2" spans="1:36" ht="15.75">
      <c r="A2" s="244" t="s">
        <v>2792</v>
      </c>
      <c r="B2" s="247" t="e">
        <f>C26</f>
        <v>#DIV/0!</v>
      </c>
      <c r="C2" s="2720" t="s">
        <v>2793</v>
      </c>
      <c r="D2" s="2721" t="s">
        <v>2794</v>
      </c>
      <c r="E2" s="2722"/>
      <c r="F2" s="2721" t="s">
        <v>2795</v>
      </c>
      <c r="G2" s="2723">
        <f>IF(E2="商业",项目基本情况!B37,IF(E2="办公",项目基本情况!C37,IF(E2="住宅",项目基本情况!D37,项目基本情况!E37)))</f>
        <v>0</v>
      </c>
      <c r="H2" s="2721" t="s">
        <v>2796</v>
      </c>
      <c r="I2" s="2723">
        <f>IF(E2="商业",项目基本情况!B38,IF(E2="办公",项目基本情况!C38,IF(E2="住宅",项目基本情况!D38,项目基本情况!E38)))</f>
        <v>0</v>
      </c>
      <c r="J2" s="2724"/>
      <c r="K2" s="1372"/>
      <c r="L2" s="2725" t="s">
        <v>2797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2798</v>
      </c>
      <c r="B3" s="247" t="e">
        <f>ROUND(B2*10000/D1,0)</f>
        <v>#DIV/0!</v>
      </c>
      <c r="C3" s="2720" t="s">
        <v>2799</v>
      </c>
      <c r="D3" s="2721" t="s">
        <v>2800</v>
      </c>
      <c r="E3" s="2726"/>
      <c r="F3" s="2727" t="s">
        <v>2801</v>
      </c>
      <c r="G3" s="915">
        <f>IF(F3="宗地容积率",'数据-汇总表'!I4,IF(F3="估价对象容积率",'数据-汇总表'!I6,'数据-汇总表'!I7))</f>
        <v>1.01</v>
      </c>
      <c r="H3" s="197" t="s">
        <v>2802</v>
      </c>
      <c r="I3" s="946"/>
      <c r="J3" s="2724" t="s">
        <v>2803</v>
      </c>
      <c r="K3" s="1372"/>
      <c r="L3" s="2725" t="s">
        <v>2804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31"/>
      <c r="B4" s="3432"/>
      <c r="C4" s="3432"/>
      <c r="D4" s="3433"/>
      <c r="E4" s="3433"/>
      <c r="F4" s="3433"/>
      <c r="G4" s="3433"/>
      <c r="H4" s="3433"/>
      <c r="I4" s="3433"/>
      <c r="J4" s="3434"/>
      <c r="K4" s="1372"/>
      <c r="L4" s="2725" t="s">
        <v>2805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2806</v>
      </c>
      <c r="C5" s="916" t="e">
        <f>ROUND(IF(E2="商业",IF(F16="增加",C6*C7+C16,C6*C7-C16),IF(E2="住宅",IF(F16="增加",C6*C12+C16,C6*C12-C16),IF(F16="增加",C6+C16,C6-C16))),0)</f>
        <v>#DIV/0!</v>
      </c>
      <c r="D5" s="1788">
        <f>ROUND(IF(E2="商业",IF(F16="增加",C6+C16,C6-C16)),0)</f>
        <v>0</v>
      </c>
      <c r="E5" s="2730"/>
      <c r="F5" s="2730"/>
      <c r="G5" s="2731"/>
      <c r="H5" s="2731"/>
      <c r="I5" s="2731"/>
      <c r="J5" s="2732"/>
      <c r="K5" s="2733"/>
      <c r="L5" s="2725" t="s">
        <v>2807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2808</v>
      </c>
      <c r="B6" s="2739" t="s">
        <v>2809</v>
      </c>
      <c r="C6" s="917">
        <f>SUMIF(L1:L12,G2,M1:M12)</f>
        <v>0</v>
      </c>
      <c r="D6" s="2740" t="s">
        <v>2810</v>
      </c>
      <c r="E6" s="2741"/>
      <c r="F6" s="2741"/>
      <c r="G6" s="2742"/>
      <c r="H6" s="2742"/>
      <c r="I6" s="2742"/>
      <c r="J6" s="2743"/>
      <c r="K6" s="1843"/>
      <c r="L6" s="2725" t="s">
        <v>2811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435" t="str">
        <f>IF(E2="商业",IF(C8="不临58条商业街","",2),"")</f>
        <v/>
      </c>
      <c r="B7" s="2744" t="s">
        <v>2812</v>
      </c>
      <c r="C7" s="918" t="e">
        <f>IF(C8="不临58条商业街",1,ROUND(1+(1.6*E8+1.2*E9+0.8*E10+0.4*E11)*C9,4))</f>
        <v>#DIV/0!</v>
      </c>
      <c r="D7" s="2745" t="s">
        <v>2813</v>
      </c>
      <c r="E7" s="947"/>
      <c r="F7" s="2746"/>
      <c r="G7" s="2747"/>
      <c r="H7" s="2747"/>
      <c r="I7" s="2747"/>
      <c r="J7" s="2748"/>
      <c r="K7" s="1843"/>
      <c r="L7" s="2725" t="s">
        <v>2814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2815</v>
      </c>
      <c r="X7" s="1605">
        <f>G2</f>
        <v>0</v>
      </c>
      <c r="Y7" s="1605" t="s">
        <v>2816</v>
      </c>
      <c r="Z7" s="1606">
        <f>G3</f>
        <v>1.01</v>
      </c>
      <c r="AA7" s="1607"/>
      <c r="AB7" s="1607"/>
      <c r="AC7" s="1608"/>
      <c r="AD7" s="1609"/>
      <c r="AE7" s="1609"/>
      <c r="AF7" s="1609"/>
      <c r="AG7" s="1609"/>
      <c r="AH7" s="1609"/>
      <c r="AI7" s="1609"/>
      <c r="AJ7" s="1610"/>
    </row>
    <row r="8" spans="1:36" ht="15">
      <c r="A8" s="3436"/>
      <c r="B8" s="197" t="s">
        <v>2817</v>
      </c>
      <c r="C8" s="2749"/>
      <c r="D8" s="919" t="s">
        <v>139</v>
      </c>
      <c r="E8" s="920" t="e">
        <f>ROUND(C11/E7,4)</f>
        <v>#DIV/0!</v>
      </c>
      <c r="F8" s="2750" t="s">
        <v>2818</v>
      </c>
      <c r="G8" s="2751"/>
      <c r="H8" s="2751"/>
      <c r="I8" s="2751"/>
      <c r="J8" s="2752"/>
      <c r="K8" s="1372"/>
      <c r="L8" s="2725" t="s">
        <v>2819</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428" t="s">
        <v>2820</v>
      </c>
      <c r="X8" s="3429"/>
      <c r="Y8" s="1611" t="s">
        <v>2821</v>
      </c>
      <c r="Z8" s="1611" t="s">
        <v>2822</v>
      </c>
      <c r="AA8" s="1611" t="s">
        <v>2823</v>
      </c>
      <c r="AB8" s="1611" t="s">
        <v>2824</v>
      </c>
      <c r="AC8" s="1611" t="s">
        <v>2825</v>
      </c>
      <c r="AD8" s="1611" t="s">
        <v>2826</v>
      </c>
      <c r="AE8" s="1611" t="s">
        <v>2827</v>
      </c>
      <c r="AF8" s="1611" t="s">
        <v>2828</v>
      </c>
      <c r="AG8" s="1611" t="s">
        <v>2829</v>
      </c>
      <c r="AH8" s="1611" t="s">
        <v>2830</v>
      </c>
      <c r="AI8" s="1611" t="s">
        <v>2831</v>
      </c>
      <c r="AJ8" s="1611" t="s">
        <v>2832</v>
      </c>
    </row>
    <row r="9" spans="1:36" ht="15">
      <c r="A9" s="3436"/>
      <c r="B9" s="197" t="s">
        <v>2833</v>
      </c>
      <c r="C9" s="921">
        <f>SUMIF(修正!C59:C119,C8,修正!E59:E119)</f>
        <v>0</v>
      </c>
      <c r="D9" s="199" t="s">
        <v>140</v>
      </c>
      <c r="E9" s="199" t="e">
        <f>ROUND(C11/E7,4)</f>
        <v>#DIV/0!</v>
      </c>
      <c r="F9" s="2750" t="s">
        <v>2834</v>
      </c>
      <c r="G9" s="2751"/>
      <c r="H9" s="2751"/>
      <c r="I9" s="2751"/>
      <c r="J9" s="2752"/>
      <c r="K9" s="1372"/>
      <c r="L9" s="2725" t="s">
        <v>2835</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430" t="s">
        <v>2836</v>
      </c>
      <c r="X9" s="1612" t="s">
        <v>2837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36"/>
      <c r="B10" s="197" t="s">
        <v>2838</v>
      </c>
      <c r="C10" s="199">
        <f>SUMIF(修正!C59:C119,C8,修正!F59:F119)</f>
        <v>0</v>
      </c>
      <c r="D10" s="199" t="s">
        <v>141</v>
      </c>
      <c r="E10" s="199" t="e">
        <f>ROUND(C11/E7,4)</f>
        <v>#DIV/0!</v>
      </c>
      <c r="F10" s="2750" t="s">
        <v>2839</v>
      </c>
      <c r="G10" s="2751"/>
      <c r="H10" s="2751"/>
      <c r="I10" s="2751"/>
      <c r="J10" s="2752"/>
      <c r="K10" s="1372"/>
      <c r="L10" s="2725" t="s">
        <v>2840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43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36"/>
      <c r="B11" s="2753" t="s">
        <v>2841</v>
      </c>
      <c r="C11" s="922">
        <f>C10/4</f>
        <v>0</v>
      </c>
      <c r="D11" s="922" t="s">
        <v>142</v>
      </c>
      <c r="E11" s="922" t="e">
        <f>ROUND(C11/E7,4)</f>
        <v>#DIV/0!</v>
      </c>
      <c r="F11" s="2754" t="s">
        <v>2842</v>
      </c>
      <c r="G11" s="2755"/>
      <c r="H11" s="2755"/>
      <c r="I11" s="2755"/>
      <c r="J11" s="2756"/>
      <c r="K11" s="1372"/>
      <c r="L11" s="2725" t="s">
        <v>2843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430" t="s">
        <v>2844</v>
      </c>
      <c r="X11" s="1615" t="s">
        <v>2845</v>
      </c>
      <c r="Y11" s="1616">
        <f>$G$3</f>
        <v>1.01</v>
      </c>
      <c r="Z11" s="1616">
        <f t="shared" ref="Z11:AJ11" si="3">$G$3</f>
        <v>1.01</v>
      </c>
      <c r="AA11" s="1616">
        <f t="shared" si="3"/>
        <v>1.01</v>
      </c>
      <c r="AB11" s="1616">
        <f t="shared" si="3"/>
        <v>1.01</v>
      </c>
      <c r="AC11" s="1616">
        <f t="shared" si="3"/>
        <v>1.01</v>
      </c>
      <c r="AD11" s="1616">
        <f t="shared" si="3"/>
        <v>1.01</v>
      </c>
      <c r="AE11" s="1616">
        <f t="shared" si="3"/>
        <v>1.01</v>
      </c>
      <c r="AF11" s="1616">
        <f t="shared" si="3"/>
        <v>1.01</v>
      </c>
      <c r="AG11" s="1616">
        <f t="shared" si="3"/>
        <v>1.01</v>
      </c>
      <c r="AH11" s="1616">
        <f t="shared" si="3"/>
        <v>1.01</v>
      </c>
      <c r="AI11" s="1616">
        <f t="shared" si="3"/>
        <v>1.01</v>
      </c>
      <c r="AJ11" s="1616">
        <f t="shared" si="3"/>
        <v>1.01</v>
      </c>
    </row>
    <row r="12" spans="1:36" ht="25.5" thickBot="1">
      <c r="A12" s="3435" t="s">
        <v>2846</v>
      </c>
      <c r="B12" s="2757" t="s">
        <v>2847</v>
      </c>
      <c r="C12" s="918">
        <f>ROUND(C15*D15*E15*F15*G15*H15*I15*J15,4)</f>
        <v>1</v>
      </c>
      <c r="D12" s="2758" t="s">
        <v>2848</v>
      </c>
      <c r="E12" s="2759"/>
      <c r="F12" s="2759"/>
      <c r="G12" s="2760"/>
      <c r="H12" s="2760"/>
      <c r="I12" s="2760"/>
      <c r="J12" s="2761"/>
      <c r="K12" s="1372"/>
      <c r="L12" s="2762" t="s">
        <v>2849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430"/>
      <c r="X12" s="1617" t="s">
        <v>2850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37"/>
      <c r="B13" s="2763" t="s">
        <v>2851</v>
      </c>
      <c r="C13" s="2764" t="s">
        <v>2852</v>
      </c>
      <c r="D13" s="1809" t="s">
        <v>2853</v>
      </c>
      <c r="E13" s="1809" t="s">
        <v>2854</v>
      </c>
      <c r="F13" s="30" t="s">
        <v>2855</v>
      </c>
      <c r="G13" s="2765" t="s">
        <v>2856</v>
      </c>
      <c r="H13" s="2765" t="s">
        <v>2856</v>
      </c>
      <c r="I13" s="2765" t="s">
        <v>2856</v>
      </c>
      <c r="J13" s="2766" t="s">
        <v>2856</v>
      </c>
      <c r="K13" s="1372"/>
      <c r="L13" s="1372"/>
      <c r="M13" s="1372"/>
      <c r="N13" s="1372"/>
      <c r="O13" s="1372"/>
      <c r="P13" s="1372"/>
      <c r="Q13" s="1372"/>
      <c r="R13" s="1603">
        <v>12</v>
      </c>
      <c r="S13" s="1604"/>
      <c r="T13" s="1603" t="e">
        <f t="shared" si="0"/>
        <v>#DIV/0!</v>
      </c>
      <c r="U13" s="1604"/>
      <c r="V13" s="1603" t="e">
        <f t="shared" si="1"/>
        <v>#DIV/0!</v>
      </c>
      <c r="W13" s="3430"/>
      <c r="X13" s="1617"/>
      <c r="Y13" s="1614">
        <f>(-0.163*(Y12^2)-0.59*Y12+7617)*(10^(-4))/Y11</f>
        <v>0.75415841584158416</v>
      </c>
      <c r="Z13" s="1614">
        <f t="shared" ref="Z13:AJ13" si="5">(-0.163*(Z12^2)-0.59*Z12+7617)*(10^(-4))/Z11</f>
        <v>0.75415841584158416</v>
      </c>
      <c r="AA13" s="1614">
        <f t="shared" si="5"/>
        <v>0.75415841584158416</v>
      </c>
      <c r="AB13" s="1614">
        <f t="shared" si="5"/>
        <v>0.75415841584158416</v>
      </c>
      <c r="AC13" s="1614">
        <f t="shared" si="5"/>
        <v>0.75415841584158416</v>
      </c>
      <c r="AD13" s="1614">
        <f t="shared" si="5"/>
        <v>0.75415841584158416</v>
      </c>
      <c r="AE13" s="1614">
        <f t="shared" si="5"/>
        <v>0.75415841584158416</v>
      </c>
      <c r="AF13" s="1614">
        <f t="shared" si="5"/>
        <v>0.75415841584158416</v>
      </c>
      <c r="AG13" s="1614">
        <f t="shared" si="5"/>
        <v>0.75415841584158416</v>
      </c>
      <c r="AH13" s="1614">
        <f t="shared" si="5"/>
        <v>0.75415841584158416</v>
      </c>
      <c r="AI13" s="1614">
        <f t="shared" si="5"/>
        <v>0.75415841584158416</v>
      </c>
      <c r="AJ13" s="1614">
        <f t="shared" si="5"/>
        <v>0.75415841584158416</v>
      </c>
    </row>
    <row r="14" spans="1:36" ht="15">
      <c r="A14" s="3437"/>
      <c r="B14" s="2767"/>
      <c r="C14" s="2768"/>
      <c r="D14" s="2769"/>
      <c r="E14" s="2769"/>
      <c r="F14" s="2770"/>
      <c r="G14" s="2771" t="s">
        <v>2857</v>
      </c>
      <c r="H14" s="2772"/>
      <c r="I14" s="2773"/>
      <c r="J14" s="2774"/>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38"/>
      <c r="B15" s="2775" t="s">
        <v>2858</v>
      </c>
      <c r="C15" s="228">
        <f>IF(C14="有",1.1,1)</f>
        <v>1</v>
      </c>
      <c r="D15" s="228">
        <f>IF(D14="有",1.1,1)</f>
        <v>1</v>
      </c>
      <c r="E15" s="228">
        <f>IF(E14="有",1.1,1)</f>
        <v>1</v>
      </c>
      <c r="F15" s="228">
        <f>IF(F14="500米范围内",1.2,IF(F14="500-1000米",1.1,1))</f>
        <v>1</v>
      </c>
      <c r="G15" s="948">
        <v>1</v>
      </c>
      <c r="H15" s="948">
        <v>1</v>
      </c>
      <c r="I15" s="948">
        <v>1</v>
      </c>
      <c r="J15" s="949">
        <v>1</v>
      </c>
      <c r="K15" s="1372"/>
      <c r="L15" s="2776" t="s">
        <v>2794</v>
      </c>
      <c r="M15" s="919" t="s">
        <v>2859</v>
      </c>
      <c r="N15" s="919" t="s">
        <v>2860</v>
      </c>
      <c r="O15" s="919" t="s">
        <v>2861</v>
      </c>
      <c r="P15" s="2777" t="s">
        <v>2862</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35" t="s">
        <v>2863</v>
      </c>
      <c r="B16" s="2744" t="s">
        <v>2864</v>
      </c>
      <c r="C16" s="1802" t="e">
        <f>ROUND(SUM(G17:J17)/C17,0)</f>
        <v>#DIV/0!</v>
      </c>
      <c r="D16" s="2778" t="s">
        <v>2865</v>
      </c>
      <c r="E16" s="2779"/>
      <c r="F16" s="2780"/>
      <c r="G16" s="2781"/>
      <c r="H16" s="2781"/>
      <c r="I16" s="2781"/>
      <c r="J16" s="2782"/>
      <c r="K16" s="1372"/>
      <c r="L16" s="2783" t="s">
        <v>2866</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36"/>
      <c r="B17" s="2784" t="s">
        <v>2867</v>
      </c>
      <c r="C17" s="923">
        <f>SUMPRODUCT((修正!A2:A5=E2)*(修正!B1:M1=G2)*(修正!B2:M5))</f>
        <v>0</v>
      </c>
      <c r="D17" s="2785" t="s">
        <v>2868</v>
      </c>
      <c r="E17" s="922" t="str">
        <f>IF(OR(G2="八级",G2="九级",G2="十级",G2="十一级",G2="十二级"),"五通一平","七通一平")</f>
        <v>七通一平</v>
      </c>
      <c r="F17" s="923" t="s">
        <v>2869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2870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2871</v>
      </c>
      <c r="C18" s="925">
        <f>SUMIF(修正!C18:C39,E3,修正!E18:E39)</f>
        <v>0</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7.75" thickBot="1">
      <c r="A19" s="2788" t="s">
        <v>809</v>
      </c>
      <c r="B19" s="2789" t="s">
        <v>2872</v>
      </c>
      <c r="C19" s="926" t="e">
        <f>ROUND(IF(H19="按公示增长率计算",SUMPRODUCT((地价!A3:A24=YEAR(G19)&amp;"-"&amp;ROUNDUP(MONTH(G19)/3,0))*(地价!X2:AB2=E2)*(地价!X3:AB24)),IF(H19="地价指数",M20/M19,(1+I19)^O19)),4)</f>
        <v>#DIV/0!</v>
      </c>
      <c r="D19" s="2796" t="s">
        <v>2873</v>
      </c>
      <c r="E19" s="927">
        <v>41640</v>
      </c>
      <c r="F19" s="2796" t="s">
        <v>2874</v>
      </c>
      <c r="G19" s="928">
        <f>'数据-取费表'!B2</f>
        <v>43444</v>
      </c>
      <c r="H19" s="2797" t="s">
        <v>2875</v>
      </c>
      <c r="I19" s="929" t="str">
        <f>IF(H19="季度增幅（自定义）",SUMIF(N21:N24,E2,O21:O24),"")</f>
        <v/>
      </c>
      <c r="J19" s="2794"/>
      <c r="K19" s="1379"/>
      <c r="L19" s="2798" t="s">
        <v>2876</v>
      </c>
      <c r="M19" s="1735">
        <f>ROUND(SUMIF(地价!B2:F2,E2,地价!B24:F24),0)</f>
        <v>0</v>
      </c>
      <c r="N19" s="2799" t="s">
        <v>2877</v>
      </c>
      <c r="O19" s="930">
        <f>ROUNDDOWN(DATEDIF(E19,G19,"M")/3,0)</f>
        <v>19</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2878</v>
      </c>
      <c r="C20" s="931" t="e">
        <f>ROUND(POWER(1+G20,J20-I20)*(POWER(1+G20,I20)-1)/(POWER(1+G20,J20)-1),4)</f>
        <v>#DIV/0!</v>
      </c>
      <c r="D20" s="2805" t="s">
        <v>2879</v>
      </c>
      <c r="E20" s="1769">
        <f ca="1">存贷款利率!D4/100</f>
        <v>4.3499999999999997E-2</v>
      </c>
      <c r="F20" s="2805" t="s">
        <v>2870</v>
      </c>
      <c r="G20" s="936">
        <f>SUMIF(M15:P15,E2,M17:P17)</f>
        <v>0</v>
      </c>
      <c r="H20" s="2805" t="s">
        <v>2880</v>
      </c>
      <c r="I20" s="937" t="e">
        <f>SUMIF('数据-取费表'!C6:C15,E2,'数据-取费表'!F6:F15)/COUNTIF('数据-取费表'!C6:C15,E2)</f>
        <v>#DIV/0!</v>
      </c>
      <c r="J20" s="938">
        <f>IF(E2="住宅",70,IF(E2="商业",40,50))</f>
        <v>50</v>
      </c>
      <c r="K20" s="1379"/>
      <c r="L20" s="2806" t="s">
        <v>2881</v>
      </c>
      <c r="M20" s="1736">
        <f>ROUND(SUMPRODUCT((地价!A4:A24=YEAR(G19)&amp;"-"&amp;ROUNDUP(MONTH(G19)/3,0))*(地价!B2:F2=E2)*(地价!B4:F24)),0)</f>
        <v>0</v>
      </c>
      <c r="N20" s="2807" t="s">
        <v>2882</v>
      </c>
      <c r="O20" s="2808" t="s">
        <v>2883</v>
      </c>
      <c r="P20" s="2809" t="s">
        <v>2884</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2885</v>
      </c>
      <c r="C21" s="939">
        <f>IF(B21="容积率修正",IF(G3&lt;=10,D22,J22),C23)</f>
        <v>0</v>
      </c>
      <c r="D21" s="2812"/>
      <c r="E21" s="2812"/>
      <c r="F21" s="2812"/>
      <c r="G21" s="2812"/>
      <c r="H21" s="2812"/>
      <c r="I21" s="2812"/>
      <c r="J21" s="2813"/>
      <c r="K21" s="1379"/>
      <c r="N21" s="2814" t="s">
        <v>2886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2887</v>
      </c>
      <c r="B22" s="2815" t="s">
        <v>2888</v>
      </c>
      <c r="C22" s="1811" t="s">
        <v>2889</v>
      </c>
      <c r="D22" s="1811">
        <f>IF(E22=G22,F22,IF(G3&lt;=10,ROUND(F22+(H22-F22)*(G3-E22)/(G22-E22),4),"——"))</f>
        <v>0</v>
      </c>
      <c r="E22" s="915">
        <f>ROUNDDOWN(G3,1)</f>
        <v>1</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4" t="s">
        <v>2890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3" t="s">
        <v>2891</v>
      </c>
      <c r="B23" s="2816" t="s">
        <v>2892</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2893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2894</v>
      </c>
      <c r="C24" s="926">
        <f>SUMIF(A45:A88,E2,B45:B88)</f>
        <v>0</v>
      </c>
      <c r="D24" s="2792"/>
      <c r="E24" s="2822"/>
      <c r="F24" s="2822"/>
      <c r="G24" s="2822"/>
      <c r="H24" s="2822"/>
      <c r="I24" s="2822"/>
      <c r="J24" s="2823"/>
      <c r="K24" s="1379"/>
      <c r="N24" s="2824" t="s">
        <v>2895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2896</v>
      </c>
      <c r="C25" s="932"/>
      <c r="D25" s="2747"/>
      <c r="E25" s="2747"/>
      <c r="F25" s="2826"/>
      <c r="G25" s="2747"/>
      <c r="H25" s="2747"/>
      <c r="I25" s="2747"/>
      <c r="J25" s="2748"/>
      <c r="K25" s="1372"/>
      <c r="N25" s="2827" t="s">
        <v>2897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8"/>
      <c r="B26" s="2815" t="s">
        <v>2898</v>
      </c>
      <c r="C26" s="205" t="e">
        <f>E29+SUM(E33:E39)</f>
        <v>#DIV/0!</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2899</v>
      </c>
      <c r="C27" s="933" t="e">
        <f>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2900</v>
      </c>
      <c r="C28" s="2839" t="s">
        <v>2901</v>
      </c>
      <c r="D28" s="2839" t="s">
        <v>2902</v>
      </c>
      <c r="E28" s="2840" t="s">
        <v>2903</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2904</v>
      </c>
      <c r="C29" s="205" t="e">
        <f>ROUND(C5*C18*C19*C20*C21*C24,0)</f>
        <v>#DIV/0!</v>
      </c>
      <c r="D29" s="2844"/>
      <c r="E29" s="944" t="e">
        <f>ROUND(C29*D29/10000,0)</f>
        <v>#DIV/0!</v>
      </c>
      <c r="F29" s="2845" t="s">
        <v>2905</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2906</v>
      </c>
      <c r="C30" s="228" t="e">
        <f>ROUND(IF(E2="工业",C29*M39,C29*M38),0)</f>
        <v>#DIV/0!</v>
      </c>
      <c r="D30" s="2850"/>
      <c r="E30" s="944" t="e">
        <f>ROUND(C30*D30/10000,0)</f>
        <v>#DIV/0!</v>
      </c>
      <c r="F30" s="2851" t="s">
        <v>2907</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2908</v>
      </c>
      <c r="C31" s="2856" t="s">
        <v>2909</v>
      </c>
      <c r="D31" s="2760"/>
      <c r="E31" s="2856"/>
      <c r="F31" s="2856"/>
      <c r="G31" s="2758" t="s">
        <v>2910</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0" t="s">
        <v>2901</v>
      </c>
      <c r="D32" s="497" t="s">
        <v>2902</v>
      </c>
      <c r="E32" s="497" t="s">
        <v>2903</v>
      </c>
      <c r="F32" s="387" t="s">
        <v>2911</v>
      </c>
      <c r="G32" s="2859" t="s">
        <v>2901</v>
      </c>
      <c r="H32" s="2859" t="s">
        <v>2902</v>
      </c>
      <c r="I32" s="2859" t="s">
        <v>2903</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445" t="s">
        <v>2912</v>
      </c>
      <c r="B33" s="2860" t="s">
        <v>2913</v>
      </c>
      <c r="C33" s="205" t="e">
        <f>ROUND(D5*C19*C20*C24*F33,0)</f>
        <v>#DIV/0!</v>
      </c>
      <c r="D33" s="2844"/>
      <c r="E33" s="199" t="e">
        <f>ROUND(C33*D33/10000,0)</f>
        <v>#DIV/0!</v>
      </c>
      <c r="F33" s="199">
        <f>SUMIF(修正!A45:A56,G2,修正!B45:B56)</f>
        <v>0</v>
      </c>
      <c r="G33" s="199" t="e">
        <f t="shared" ref="G33" si="6">ROUND(IF(E2="工业",C33*$M$39,C33*$M$38),0)</f>
        <v>#DIV/0!</v>
      </c>
      <c r="H33" s="199">
        <f>D33</f>
        <v>0</v>
      </c>
      <c r="I33" s="199" t="e">
        <f>ROUND(G33*H33/10000,0)</f>
        <v>#DIV/0!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46"/>
      <c r="B34" s="2764" t="s">
        <v>2914</v>
      </c>
      <c r="C34" s="205" t="e">
        <f>ROUND(D5*C19*C20*C24*F34,0)</f>
        <v>#DIV/0!</v>
      </c>
      <c r="D34" s="284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46"/>
      <c r="B35" s="2764" t="s">
        <v>2915</v>
      </c>
      <c r="C35" s="205" t="e">
        <f>ROUND(D5*C19*C20*C24*F35,0)</f>
        <v>#DIV/0!</v>
      </c>
      <c r="D35" s="2844"/>
      <c r="E35" s="199" t="e">
        <f t="shared" si="7"/>
        <v>#DIV/0!</v>
      </c>
      <c r="F35" s="199">
        <f>SUMIF(修正!A45:A56,G2,修正!D45:D56)</f>
        <v>0</v>
      </c>
      <c r="G35" s="199" t="e">
        <f>ROUND(IF(E2="工业",C35*$M$39,C35*$M$38),0)</f>
        <v>#DIV/0!</v>
      </c>
      <c r="H35" s="199">
        <f t="shared" si="8"/>
        <v>0</v>
      </c>
      <c r="I35" s="199" t="e">
        <f t="shared" si="9"/>
        <v>#DIV/0!</v>
      </c>
      <c r="J35" s="2861"/>
      <c r="K35" s="1372"/>
      <c r="L35" s="1372"/>
      <c r="M35" s="1372"/>
      <c r="N35" s="1372"/>
      <c r="O35" s="1372"/>
      <c r="P35" s="1372"/>
      <c r="Q35" s="1372"/>
      <c r="R35" s="1372"/>
      <c r="S35" s="1372"/>
      <c r="T35" s="1372"/>
      <c r="U35" s="1372"/>
      <c r="V35" s="1372"/>
      <c r="W35" s="1372"/>
      <c r="X35" s="1372"/>
      <c r="Y35" s="1372"/>
      <c r="Z35" s="1373"/>
    </row>
    <row r="36" spans="1:37" ht="13.5" thickBot="1">
      <c r="A36" s="3447"/>
      <c r="B36" s="2764" t="s">
        <v>2916</v>
      </c>
      <c r="C36" s="205" t="e">
        <f>ROUND(D5*C19*C20*C24*F36,0)</f>
        <v>#DIV/0!</v>
      </c>
      <c r="D36" s="2844"/>
      <c r="E36" s="199" t="e">
        <f t="shared" si="7"/>
        <v>#DIV/0!</v>
      </c>
      <c r="F36" s="199">
        <f>SUMIF(修正!A45:A56,G2,修正!E45:E56)</f>
        <v>0</v>
      </c>
      <c r="G36" s="199" t="e">
        <f>ROUND(IF(E2="工业",C36*$M$39,C36*$M$38),0)</f>
        <v>#DIV/0!</v>
      </c>
      <c r="H36" s="199">
        <f t="shared" si="8"/>
        <v>0</v>
      </c>
      <c r="I36" s="199" t="e">
        <f t="shared" si="9"/>
        <v>#DIV/0!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2917</v>
      </c>
      <c r="C37" s="199" t="e">
        <f>ROUND(C5*C19*C20*C24*F37,0)</f>
        <v>#DIV/0!</v>
      </c>
      <c r="D37" s="2844"/>
      <c r="E37" s="199" t="e">
        <f t="shared" si="7"/>
        <v>#DIV/0!</v>
      </c>
      <c r="F37" s="205">
        <f>SUMIF(修正!A45:A56,G2,修正!F45:F56)</f>
        <v>0</v>
      </c>
      <c r="G37" s="199" t="e">
        <f>ROUND(IF(E2="工业",C37*$M$39,C37*$M$38),0)</f>
        <v>#DIV/0!</v>
      </c>
      <c r="H37" s="199">
        <f t="shared" si="8"/>
        <v>0</v>
      </c>
      <c r="I37" s="199" t="e">
        <f t="shared" si="9"/>
        <v>#DIV/0!</v>
      </c>
      <c r="J37" s="2861"/>
      <c r="K37" s="1372"/>
      <c r="L37" s="2863" t="s">
        <v>2918</v>
      </c>
      <c r="M37" s="2864"/>
      <c r="N37" s="1372"/>
      <c r="O37" s="1372"/>
      <c r="P37" s="1372"/>
      <c r="Q37" s="1372"/>
      <c r="R37" s="1372"/>
      <c r="S37" s="1372"/>
      <c r="T37" s="1372"/>
      <c r="U37" s="1372"/>
      <c r="V37" s="1372"/>
      <c r="W37" s="1372"/>
      <c r="X37" s="1372"/>
      <c r="Y37" s="1372"/>
      <c r="Z37" s="1373"/>
    </row>
    <row r="38" spans="1:37">
      <c r="A38" s="2862"/>
      <c r="B38" s="2764" t="s">
        <v>2919</v>
      </c>
      <c r="C38" s="199" t="e">
        <f>ROUND(C5*C19*C20*C24*F38,0)</f>
        <v>#DIV/0!</v>
      </c>
      <c r="D38" s="2844"/>
      <c r="E38" s="199" t="e">
        <f t="shared" si="7"/>
        <v>#DIV/0!</v>
      </c>
      <c r="F38" s="205">
        <f>SUMIF(修正!A45:A56,G2,修正!G45:G56)</f>
        <v>0</v>
      </c>
      <c r="G38" s="199" t="e">
        <f>ROUND(IF(E2="工业",C38*$M$39,C38*$M$38),0)</f>
        <v>#DIV/0!</v>
      </c>
      <c r="H38" s="199">
        <f t="shared" si="8"/>
        <v>0</v>
      </c>
      <c r="I38" s="199" t="e">
        <f t="shared" si="9"/>
        <v>#DIV/0!</v>
      </c>
      <c r="J38" s="2861"/>
      <c r="K38" s="1372"/>
      <c r="L38" s="1888" t="s">
        <v>2920</v>
      </c>
      <c r="M38" s="2865">
        <v>0.25</v>
      </c>
      <c r="N38" s="1372"/>
      <c r="O38" s="1372"/>
      <c r="P38" s="1372"/>
      <c r="Q38" s="1372"/>
      <c r="R38" s="1372"/>
      <c r="S38" s="1372"/>
      <c r="T38" s="1372"/>
      <c r="U38" s="1372"/>
      <c r="V38" s="1372"/>
      <c r="W38" s="1372"/>
      <c r="X38" s="1372"/>
      <c r="Y38" s="1372"/>
      <c r="Z38" s="1373"/>
    </row>
    <row r="39" spans="1:37" ht="13.5" thickBot="1">
      <c r="A39" s="2848"/>
      <c r="B39" s="2866" t="s">
        <v>2921</v>
      </c>
      <c r="C39" s="228" t="e">
        <f>ROUND(C5*C19*C20*C24*F39,0)</f>
        <v>#DIV/0!</v>
      </c>
      <c r="D39" s="2850"/>
      <c r="E39" s="228" t="e">
        <f t="shared" si="7"/>
        <v>#DIV/0!</v>
      </c>
      <c r="F39" s="934">
        <f>SUMIF(修正!A45:A56,G2,修正!H45:H56)</f>
        <v>0</v>
      </c>
      <c r="G39" s="228" t="e">
        <f>ROUND(IF(E2="工业",C39*$M$39,C39*$M$38),0)</f>
        <v>#DIV/0!</v>
      </c>
      <c r="H39" s="228">
        <f t="shared" si="8"/>
        <v>0</v>
      </c>
      <c r="I39" s="228" t="e">
        <f t="shared" si="9"/>
        <v>#DIV/0!</v>
      </c>
      <c r="J39" s="2867"/>
      <c r="K39" s="1372"/>
      <c r="L39" s="2868" t="s">
        <v>2862</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2922</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2923</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2924</v>
      </c>
      <c r="B47" s="1810" t="s">
        <v>2925</v>
      </c>
      <c r="C47" s="1810" t="s">
        <v>2926</v>
      </c>
      <c r="D47" s="1810" t="s">
        <v>2927</v>
      </c>
      <c r="E47" s="818" t="s">
        <v>2928</v>
      </c>
      <c r="F47" s="2878" t="s">
        <v>2929</v>
      </c>
      <c r="G47" s="1810" t="s">
        <v>754</v>
      </c>
      <c r="H47" s="2879" t="s">
        <v>2930</v>
      </c>
      <c r="I47" s="1810" t="s">
        <v>2931</v>
      </c>
      <c r="J47" s="602" t="s">
        <v>2578</v>
      </c>
      <c r="K47" s="602" t="s">
        <v>2579</v>
      </c>
      <c r="L47" s="602" t="s">
        <v>2580</v>
      </c>
      <c r="M47" s="602" t="s">
        <v>2581</v>
      </c>
      <c r="N47" s="602" t="s">
        <v>2582</v>
      </c>
      <c r="AA47" s="1373"/>
      <c r="AB47" s="1373"/>
      <c r="AC47" s="1373"/>
      <c r="AD47" s="1373"/>
      <c r="AE47" s="1373"/>
      <c r="AF47" s="1373"/>
      <c r="AG47" s="1373"/>
      <c r="AH47" s="1373"/>
      <c r="AI47" s="1373"/>
      <c r="AJ47" s="1373"/>
      <c r="AK47" s="1373"/>
    </row>
    <row r="48" spans="1:37" s="1372" customFormat="1" ht="24.75">
      <c r="A48" s="2877" t="s">
        <v>2932</v>
      </c>
      <c r="B48" s="2880" t="str">
        <f>估价对象房地状况!C4</f>
        <v>较差</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7" t="s">
        <v>2933</v>
      </c>
      <c r="B49" s="2881" t="str">
        <f>估价对象房地状况!C18</f>
        <v>一般</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2934</v>
      </c>
      <c r="B50" s="2881" t="str">
        <f>估价对象房地状况!C19</f>
        <v>较好</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2935</v>
      </c>
      <c r="B51" s="2882" t="s">
        <v>2936</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2937</v>
      </c>
      <c r="B52" s="2881" t="str">
        <f>估价对象房地状况!C24</f>
        <v>次干道</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2938</v>
      </c>
      <c r="B53" s="2883" t="s">
        <v>2939</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4" t="s">
        <v>2940</v>
      </c>
      <c r="B54" s="1726" t="str">
        <f>估价对象房地状况!C21</f>
        <v>一般</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4" t="s">
        <v>2941</v>
      </c>
      <c r="B55" s="2881" t="str">
        <f>估价对象房地状况!C22</f>
        <v>七通</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5" t="s">
        <v>2942</v>
      </c>
      <c r="B56" s="2886" t="str">
        <f>估价对象房地状况!C20</f>
        <v>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2943</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2924</v>
      </c>
      <c r="B58" s="1810"/>
      <c r="C58" s="1810" t="s">
        <v>2926</v>
      </c>
      <c r="D58" s="1810" t="s">
        <v>2927</v>
      </c>
      <c r="E58" s="818" t="s">
        <v>2928</v>
      </c>
      <c r="F58" s="2878" t="s">
        <v>2944</v>
      </c>
      <c r="G58" s="1810" t="s">
        <v>754</v>
      </c>
      <c r="H58" s="2879" t="s">
        <v>2930</v>
      </c>
      <c r="I58" s="1810" t="s">
        <v>2931</v>
      </c>
      <c r="J58" s="602" t="s">
        <v>2578</v>
      </c>
      <c r="K58" s="602" t="s">
        <v>2579</v>
      </c>
      <c r="L58" s="602" t="s">
        <v>2580</v>
      </c>
      <c r="M58" s="602" t="s">
        <v>2581</v>
      </c>
      <c r="N58" s="602" t="s">
        <v>2582</v>
      </c>
      <c r="AA58" s="1373"/>
      <c r="AB58" s="1373"/>
      <c r="AC58" s="1373"/>
      <c r="AD58" s="1373"/>
      <c r="AE58" s="1373"/>
      <c r="AF58" s="1373"/>
      <c r="AG58" s="1373"/>
      <c r="AH58" s="1373"/>
      <c r="AI58" s="1373"/>
      <c r="AJ58" s="1373"/>
      <c r="AK58" s="1373"/>
    </row>
    <row r="59" spans="1:37" s="1372" customFormat="1" ht="24">
      <c r="A59" s="2877" t="s">
        <v>2945</v>
      </c>
      <c r="B59" s="2880">
        <f>估价对象房地状况!C17</f>
        <v>0</v>
      </c>
      <c r="C59" s="2769"/>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7" t="s">
        <v>2933</v>
      </c>
      <c r="B60" s="2881" t="str">
        <f>估价对象房地状况!C18</f>
        <v>一般</v>
      </c>
      <c r="C60" s="2769"/>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7" t="s">
        <v>2934</v>
      </c>
      <c r="B61" s="2881" t="str">
        <f>估价对象房地状况!C19</f>
        <v>较好</v>
      </c>
      <c r="C61" s="2769"/>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7" t="s">
        <v>2935</v>
      </c>
      <c r="B62" s="2882" t="s">
        <v>2936</v>
      </c>
      <c r="C62" s="2769"/>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7" t="s">
        <v>2937</v>
      </c>
      <c r="B63" s="2881" t="str">
        <f>估价对象房地状况!C24</f>
        <v>次干道</v>
      </c>
      <c r="C63" s="2769"/>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7" t="s">
        <v>2938</v>
      </c>
      <c r="B64" s="2883" t="s">
        <v>2939</v>
      </c>
      <c r="C64" s="2769"/>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7" t="s">
        <v>2940</v>
      </c>
      <c r="B65" s="1726" t="str">
        <f>估价对象房地状况!C21</f>
        <v>一般</v>
      </c>
      <c r="C65" s="2769"/>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7" t="s">
        <v>2941</v>
      </c>
      <c r="B66" s="1726" t="str">
        <f>估价对象房地状况!C22</f>
        <v>七通</v>
      </c>
      <c r="C66" s="2769"/>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5" t="s">
        <v>2942</v>
      </c>
      <c r="B67" s="2887" t="str">
        <f>估价对象房地状况!C20</f>
        <v>一般</v>
      </c>
      <c r="C67" s="2769"/>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3" t="s">
        <v>2946</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2924</v>
      </c>
      <c r="B69" s="1810"/>
      <c r="C69" s="1810" t="s">
        <v>2926</v>
      </c>
      <c r="D69" s="1810" t="s">
        <v>2927</v>
      </c>
      <c r="E69" s="818" t="s">
        <v>2928</v>
      </c>
      <c r="F69" s="2878" t="s">
        <v>2944</v>
      </c>
      <c r="G69" s="1810" t="s">
        <v>754</v>
      </c>
      <c r="H69" s="2879" t="s">
        <v>2930</v>
      </c>
      <c r="I69" s="1810" t="s">
        <v>2931</v>
      </c>
      <c r="J69" s="602" t="s">
        <v>2578</v>
      </c>
      <c r="K69" s="602" t="s">
        <v>2579</v>
      </c>
      <c r="L69" s="602" t="s">
        <v>2580</v>
      </c>
      <c r="M69" s="602" t="s">
        <v>2581</v>
      </c>
      <c r="N69" s="602" t="s">
        <v>2582</v>
      </c>
      <c r="AA69" s="1373"/>
      <c r="AB69" s="1373"/>
      <c r="AC69" s="1373"/>
      <c r="AD69" s="1373"/>
      <c r="AE69" s="1373"/>
      <c r="AF69" s="1373"/>
      <c r="AG69" s="1373"/>
      <c r="AH69" s="1373"/>
      <c r="AI69" s="1373"/>
      <c r="AJ69" s="1373"/>
      <c r="AK69" s="1373"/>
    </row>
    <row r="70" spans="1:37" s="1372" customFormat="1" ht="24">
      <c r="A70" s="2877" t="s">
        <v>2947</v>
      </c>
      <c r="B70" s="2880" t="str">
        <f>估价对象房地状况!C15</f>
        <v>一般</v>
      </c>
      <c r="C70" s="2769"/>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7" t="s">
        <v>2933</v>
      </c>
      <c r="B71" s="2881" t="str">
        <f>估价对象房地状况!C18</f>
        <v>一般</v>
      </c>
      <c r="C71" s="2769"/>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7" t="s">
        <v>2934</v>
      </c>
      <c r="B72" s="2881" t="str">
        <f>估价对象房地状况!C19</f>
        <v>较好</v>
      </c>
      <c r="C72" s="2769"/>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7" t="s">
        <v>2948</v>
      </c>
      <c r="B73" s="2881" t="str">
        <f>估价对象房地状况!C24</f>
        <v>次干道</v>
      </c>
      <c r="C73" s="2769"/>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7" t="s">
        <v>2940</v>
      </c>
      <c r="B74" s="1726" t="str">
        <f>估价对象房地状况!C21</f>
        <v>一般</v>
      </c>
      <c r="C74" s="2769"/>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7" t="s">
        <v>2941</v>
      </c>
      <c r="B75" s="1726" t="str">
        <f>估价对象房地状况!C22</f>
        <v>七通</v>
      </c>
      <c r="C75" s="2769"/>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c r="A76" s="2877" t="s">
        <v>2938</v>
      </c>
      <c r="B76" s="2883" t="s">
        <v>2939</v>
      </c>
      <c r="C76" s="2769"/>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24">
      <c r="A77" s="2877" t="s">
        <v>2942</v>
      </c>
      <c r="B77" s="2880" t="str">
        <f>估价对象房地状况!C20</f>
        <v>一般</v>
      </c>
      <c r="C77" s="2769"/>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9"/>
      <c r="AA77" s="2795"/>
      <c r="AG77" s="1374"/>
      <c r="AK77" s="2795"/>
    </row>
    <row r="78" spans="1:37" ht="24.75" thickBot="1">
      <c r="A78" s="2885" t="s">
        <v>2949</v>
      </c>
      <c r="B78" s="2889"/>
      <c r="C78" s="2769"/>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9"/>
      <c r="AA78" s="2795"/>
      <c r="AG78" s="1374"/>
      <c r="AK78" s="2795"/>
    </row>
    <row r="79" spans="1:37" ht="15">
      <c r="A79" s="2873" t="s">
        <v>2950</v>
      </c>
      <c r="B79" s="2874">
        <f>1+E81</f>
        <v>1</v>
      </c>
      <c r="C79" s="813"/>
      <c r="D79" s="813"/>
      <c r="E79" s="814"/>
      <c r="F79" s="2876"/>
      <c r="G79" s="6"/>
      <c r="H79" s="6"/>
      <c r="I79" s="6"/>
      <c r="J79" s="7"/>
      <c r="K79" s="7"/>
      <c r="L79" s="7"/>
      <c r="M79" s="7"/>
      <c r="N79" s="7"/>
      <c r="Z79" s="2719"/>
      <c r="AA79" s="2795"/>
      <c r="AG79" s="1374"/>
      <c r="AK79" s="2795"/>
    </row>
    <row r="80" spans="1:37" ht="24.75">
      <c r="A80" s="2877" t="s">
        <v>2924</v>
      </c>
      <c r="B80" s="1810"/>
      <c r="C80" s="1810" t="s">
        <v>2926</v>
      </c>
      <c r="D80" s="1810" t="s">
        <v>2927</v>
      </c>
      <c r="E80" s="818" t="s">
        <v>2928</v>
      </c>
      <c r="F80" s="2878" t="s">
        <v>2944</v>
      </c>
      <c r="G80" s="1810" t="s">
        <v>754</v>
      </c>
      <c r="H80" s="2879" t="s">
        <v>2930</v>
      </c>
      <c r="I80" s="1810" t="s">
        <v>2931</v>
      </c>
      <c r="J80" s="602" t="s">
        <v>2578</v>
      </c>
      <c r="K80" s="602" t="s">
        <v>2579</v>
      </c>
      <c r="L80" s="602" t="s">
        <v>2580</v>
      </c>
      <c r="M80" s="602" t="s">
        <v>2581</v>
      </c>
      <c r="N80" s="602" t="s">
        <v>2582</v>
      </c>
      <c r="Z80" s="2719"/>
      <c r="AA80" s="2795"/>
      <c r="AG80" s="1374"/>
      <c r="AK80" s="2795"/>
    </row>
    <row r="81" spans="1:37" ht="24">
      <c r="A81" s="2877" t="s">
        <v>2951</v>
      </c>
      <c r="B81" s="2881">
        <f>估价对象房地状况!G15</f>
        <v>0</v>
      </c>
      <c r="C81" s="2769"/>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14.25">
      <c r="A82" s="2877" t="s">
        <v>2933</v>
      </c>
      <c r="B82" s="2881">
        <f>估价对象房地状况!G16</f>
        <v>0</v>
      </c>
      <c r="C82" s="2769"/>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9"/>
      <c r="AA82" s="2795"/>
      <c r="AG82" s="1374"/>
      <c r="AK82" s="2795"/>
    </row>
    <row r="83" spans="1:37" ht="24">
      <c r="A83" s="2877" t="s">
        <v>2934</v>
      </c>
      <c r="B83" s="2881">
        <f>估价对象房地状况!G17</f>
        <v>0</v>
      </c>
      <c r="C83" s="2769"/>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9"/>
      <c r="AA83" s="2795"/>
      <c r="AG83" s="1374"/>
      <c r="AK83" s="2795"/>
    </row>
    <row r="84" spans="1:37" ht="14.25">
      <c r="A84" s="2877" t="s">
        <v>2948</v>
      </c>
      <c r="B84" s="2881">
        <f>估价对象房地状况!G22</f>
        <v>0</v>
      </c>
      <c r="C84" s="2769"/>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9"/>
      <c r="AA84" s="2795"/>
      <c r="AG84" s="1374"/>
      <c r="AK84" s="2795"/>
    </row>
    <row r="85" spans="1:37" ht="24">
      <c r="A85" s="2877" t="s">
        <v>2940</v>
      </c>
      <c r="B85" s="1726">
        <f>估价对象房地状况!G19</f>
        <v>0</v>
      </c>
      <c r="C85" s="2769"/>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9"/>
      <c r="AA85" s="2795"/>
      <c r="AG85" s="1374"/>
      <c r="AK85" s="2795"/>
    </row>
    <row r="86" spans="1:37" ht="24">
      <c r="A86" s="2877" t="s">
        <v>2941</v>
      </c>
      <c r="B86" s="1726">
        <f>估价对象房地状况!G20</f>
        <v>0</v>
      </c>
      <c r="C86" s="2769"/>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9"/>
      <c r="AA86" s="2795"/>
      <c r="AG86" s="1374"/>
      <c r="AK86" s="2795"/>
    </row>
    <row r="87" spans="1:37" ht="24">
      <c r="A87" s="2877" t="s">
        <v>2938</v>
      </c>
      <c r="B87" s="2883" t="s">
        <v>2952</v>
      </c>
      <c r="C87" s="2769"/>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9"/>
      <c r="AA87" s="2795"/>
      <c r="AG87" s="1374"/>
      <c r="AK87" s="2795"/>
    </row>
    <row r="88" spans="1:37" ht="15" thickBot="1">
      <c r="A88" s="2885" t="s">
        <v>2953</v>
      </c>
      <c r="B88" s="2890">
        <f>估价对象房地状况!G18</f>
        <v>0</v>
      </c>
      <c r="C88" s="2769"/>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9"/>
      <c r="AA88" s="2795"/>
      <c r="AG88" s="1374"/>
      <c r="AK88" s="2795"/>
    </row>
    <row r="90" spans="1:37">
      <c r="A90" s="3439" t="s">
        <v>2954</v>
      </c>
      <c r="B90" s="3439"/>
      <c r="C90" s="3439"/>
      <c r="D90" s="3439"/>
      <c r="E90" s="3439"/>
      <c r="F90" s="3439"/>
      <c r="G90" s="3439"/>
      <c r="H90" s="3439"/>
      <c r="I90" s="3439"/>
      <c r="J90" s="3439"/>
      <c r="K90" s="2891"/>
      <c r="L90" s="2891"/>
      <c r="M90" s="2891"/>
      <c r="N90" s="2891"/>
    </row>
    <row r="91" spans="1:37">
      <c r="A91" s="3441" t="s">
        <v>2955</v>
      </c>
      <c r="B91" s="3441" t="s">
        <v>2956</v>
      </c>
      <c r="C91" s="2845" t="s">
        <v>2957</v>
      </c>
      <c r="D91" s="2846"/>
      <c r="E91" s="2846"/>
      <c r="F91" s="2846"/>
      <c r="G91" s="2846"/>
      <c r="H91" s="2846"/>
      <c r="I91" s="2846"/>
      <c r="J91" s="2892"/>
      <c r="K91" s="2893"/>
      <c r="L91" s="2893"/>
      <c r="M91" s="2893"/>
      <c r="N91" s="2893"/>
    </row>
    <row r="92" spans="1:37">
      <c r="A92" s="3441"/>
      <c r="B92" s="3441"/>
      <c r="C92" s="944" t="s">
        <v>2821</v>
      </c>
      <c r="D92" s="944" t="s">
        <v>2822</v>
      </c>
      <c r="E92" s="944" t="s">
        <v>2823</v>
      </c>
      <c r="F92" s="944" t="s">
        <v>2824</v>
      </c>
      <c r="G92" s="944" t="s">
        <v>2825</v>
      </c>
      <c r="H92" s="944" t="s">
        <v>2826</v>
      </c>
      <c r="I92" s="944" t="s">
        <v>2827</v>
      </c>
      <c r="J92" s="944" t="s">
        <v>2828</v>
      </c>
      <c r="K92" s="944" t="s">
        <v>2829</v>
      </c>
      <c r="L92" s="944" t="s">
        <v>2830</v>
      </c>
      <c r="M92" s="944" t="s">
        <v>2831</v>
      </c>
      <c r="N92" s="944" t="s">
        <v>2832</v>
      </c>
    </row>
    <row r="93" spans="1:37">
      <c r="A93" s="3442" t="s">
        <v>2958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44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44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44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44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44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443"/>
      <c r="B99" s="2894" t="s">
        <v>2837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44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442" t="s">
        <v>2959</v>
      </c>
      <c r="B101" s="2898" t="s">
        <v>2960</v>
      </c>
      <c r="C101" s="2899">
        <f>$G$3</f>
        <v>1.01</v>
      </c>
      <c r="D101" s="2899">
        <f t="shared" ref="D101:N101" si="31">$G$3</f>
        <v>1.01</v>
      </c>
      <c r="E101" s="2899">
        <f t="shared" si="31"/>
        <v>1.01</v>
      </c>
      <c r="F101" s="2899">
        <f t="shared" si="31"/>
        <v>1.01</v>
      </c>
      <c r="G101" s="2899">
        <f t="shared" si="31"/>
        <v>1.01</v>
      </c>
      <c r="H101" s="2899">
        <f t="shared" si="31"/>
        <v>1.01</v>
      </c>
      <c r="I101" s="2899">
        <f t="shared" si="31"/>
        <v>1.01</v>
      </c>
      <c r="J101" s="2899">
        <f t="shared" si="31"/>
        <v>1.01</v>
      </c>
      <c r="K101" s="2899">
        <f t="shared" si="31"/>
        <v>1.01</v>
      </c>
      <c r="L101" s="2899">
        <f t="shared" si="31"/>
        <v>1.01</v>
      </c>
      <c r="M101" s="2899">
        <f t="shared" si="31"/>
        <v>1.01</v>
      </c>
      <c r="N101" s="2899">
        <f t="shared" si="31"/>
        <v>1.01</v>
      </c>
    </row>
    <row r="102" spans="1:14">
      <c r="A102" s="3443"/>
      <c r="B102" s="2894">
        <v>1</v>
      </c>
      <c r="C102" s="2895">
        <f>1.9362/C101</f>
        <v>1.917029702970297</v>
      </c>
      <c r="D102" s="2895">
        <f>1.9362/D101</f>
        <v>1.917029702970297</v>
      </c>
      <c r="E102" s="2895">
        <f>1.8629/E101</f>
        <v>1.8444554455445545</v>
      </c>
      <c r="F102" s="2895">
        <f>1.8629/F101</f>
        <v>1.8444554455445545</v>
      </c>
      <c r="G102" s="2895">
        <f>1.8629/G101</f>
        <v>1.8444554455445545</v>
      </c>
      <c r="H102" s="2895">
        <f>1.8629/H101</f>
        <v>1.8444554455445545</v>
      </c>
      <c r="I102" s="2895">
        <f>1.8629/I101</f>
        <v>1.8444554455445545</v>
      </c>
      <c r="J102" s="2895">
        <f>1.942/J101</f>
        <v>1.9227722772277227</v>
      </c>
      <c r="K102" s="2895">
        <f>1.942/K101</f>
        <v>1.9227722772277227</v>
      </c>
      <c r="L102" s="2895">
        <f>1.942/L101</f>
        <v>1.9227722772277227</v>
      </c>
      <c r="M102" s="2895">
        <f>1.942/M101</f>
        <v>1.9227722772277227</v>
      </c>
      <c r="N102" s="2895">
        <f>1.942/N101</f>
        <v>1.9227722772277227</v>
      </c>
    </row>
    <row r="103" spans="1:14">
      <c r="A103" s="3443"/>
      <c r="B103" s="2894">
        <v>2</v>
      </c>
      <c r="C103" s="2895">
        <f>1.4198/C101</f>
        <v>1.4057425742574257</v>
      </c>
      <c r="D103" s="2895">
        <f>1.4198/D101</f>
        <v>1.4057425742574257</v>
      </c>
      <c r="E103" s="2895">
        <f>1.3372/E101</f>
        <v>1.3239603960396038</v>
      </c>
      <c r="F103" s="2895">
        <f>1.3372/F101</f>
        <v>1.3239603960396038</v>
      </c>
      <c r="G103" s="2895">
        <f>1.3372/G101</f>
        <v>1.3239603960396038</v>
      </c>
      <c r="H103" s="2895">
        <f>1.3372/H101</f>
        <v>1.3239603960396038</v>
      </c>
      <c r="I103" s="2895">
        <f>1.3372/I101</f>
        <v>1.3239603960396038</v>
      </c>
      <c r="J103" s="2895">
        <f>1.2799/J101</f>
        <v>1.2672277227722772</v>
      </c>
      <c r="K103" s="2895">
        <f>1.2799/K101</f>
        <v>1.2672277227722772</v>
      </c>
      <c r="L103" s="2895">
        <f>1.2799/L101</f>
        <v>1.2672277227722772</v>
      </c>
      <c r="M103" s="2895">
        <f>1.2799/M101</f>
        <v>1.2672277227722772</v>
      </c>
      <c r="N103" s="2895">
        <f>1.2799/N101</f>
        <v>1.2672277227722772</v>
      </c>
    </row>
    <row r="104" spans="1:14">
      <c r="A104" s="3443"/>
      <c r="B104" s="2894">
        <v>3</v>
      </c>
      <c r="C104" s="2895">
        <f>1.1594/C101</f>
        <v>1.1479207920792078</v>
      </c>
      <c r="D104" s="2895">
        <f>1.1594/D101</f>
        <v>1.1479207920792078</v>
      </c>
      <c r="E104" s="2895">
        <f>1.0788/E101</f>
        <v>1.0681188118811882</v>
      </c>
      <c r="F104" s="2895">
        <f>1.0788/F101</f>
        <v>1.0681188118811882</v>
      </c>
      <c r="G104" s="2895">
        <f>1.0788/G101</f>
        <v>1.0681188118811882</v>
      </c>
      <c r="H104" s="2895">
        <f>1.0788/H101</f>
        <v>1.0681188118811882</v>
      </c>
      <c r="I104" s="2895">
        <f>1.0788/I101</f>
        <v>1.0681188118811882</v>
      </c>
      <c r="J104" s="2895">
        <f>1.0072/J101</f>
        <v>0.99722772277227734</v>
      </c>
      <c r="K104" s="2895">
        <f>1.0072/K101</f>
        <v>0.99722772277227734</v>
      </c>
      <c r="L104" s="2895">
        <f>1.0072/L101</f>
        <v>0.99722772277227734</v>
      </c>
      <c r="M104" s="2895">
        <f>1.0072/M101</f>
        <v>0.99722772277227734</v>
      </c>
      <c r="N104" s="2895">
        <f>1.0072/N101</f>
        <v>0.99722772277227734</v>
      </c>
    </row>
    <row r="105" spans="1:14">
      <c r="A105" s="3443"/>
      <c r="B105" s="2894">
        <v>4</v>
      </c>
      <c r="C105" s="2895">
        <f>0.9622/C101</f>
        <v>0.95267326732673274</v>
      </c>
      <c r="D105" s="2895">
        <f>0.9622/D101</f>
        <v>0.95267326732673274</v>
      </c>
      <c r="E105" s="2895">
        <f>0.8656/E101</f>
        <v>0.85702970297029701</v>
      </c>
      <c r="F105" s="2895">
        <f>0.8656/F101</f>
        <v>0.85702970297029701</v>
      </c>
      <c r="G105" s="2895">
        <f>0.8656/G101</f>
        <v>0.85702970297029701</v>
      </c>
      <c r="H105" s="2895">
        <f>0.8656/H101</f>
        <v>0.85702970297029701</v>
      </c>
      <c r="I105" s="2895">
        <f>0.8656/I101</f>
        <v>0.85702970297029701</v>
      </c>
      <c r="J105" s="2895">
        <f>0.7525/J101</f>
        <v>0.74504950495049505</v>
      </c>
      <c r="K105" s="2895">
        <f>0.7525/K101</f>
        <v>0.74504950495049505</v>
      </c>
      <c r="L105" s="2895">
        <f>0.7525/L101</f>
        <v>0.74504950495049505</v>
      </c>
      <c r="M105" s="2895">
        <f>0.7525/M101</f>
        <v>0.74504950495049505</v>
      </c>
      <c r="N105" s="2895">
        <f>0.7525/N101</f>
        <v>0.74504950495049505</v>
      </c>
    </row>
    <row r="106" spans="1:14">
      <c r="A106" s="3443"/>
      <c r="B106" s="2894">
        <v>5</v>
      </c>
      <c r="C106" s="2895">
        <f>0.8417/C101</f>
        <v>0.83336633663366333</v>
      </c>
      <c r="D106" s="2895">
        <f>0.8417/D101</f>
        <v>0.83336633663366333</v>
      </c>
      <c r="E106" s="2895">
        <f>0.7371/E101</f>
        <v>0.72980198019801978</v>
      </c>
      <c r="F106" s="2895">
        <f>0.7371/F101</f>
        <v>0.72980198019801978</v>
      </c>
      <c r="G106" s="2895">
        <f>0.7371/G101</f>
        <v>0.72980198019801978</v>
      </c>
      <c r="H106" s="2895">
        <f>0.7371/H101</f>
        <v>0.72980198019801978</v>
      </c>
      <c r="I106" s="2895">
        <f>0.7371/I101</f>
        <v>0.72980198019801978</v>
      </c>
      <c r="J106" s="2895">
        <f>0.5659/J101</f>
        <v>0.56029702970297024</v>
      </c>
      <c r="K106" s="2895">
        <f>0.5659/K101</f>
        <v>0.56029702970297024</v>
      </c>
      <c r="L106" s="2895">
        <f>0.5659/L101</f>
        <v>0.56029702970297024</v>
      </c>
      <c r="M106" s="2895">
        <f>0.5659/M101</f>
        <v>0.56029702970297024</v>
      </c>
      <c r="N106" s="2895">
        <f>0.5659/N101</f>
        <v>0.56029702970297024</v>
      </c>
    </row>
    <row r="107" spans="1:14">
      <c r="A107" s="3443"/>
      <c r="B107" s="2894">
        <v>6</v>
      </c>
      <c r="C107" s="2895">
        <f>0.7608/C101</f>
        <v>0.75326732673267327</v>
      </c>
      <c r="D107" s="2895">
        <f>0.7608/D101</f>
        <v>0.75326732673267327</v>
      </c>
      <c r="E107" s="2895">
        <f>0.6482/E101</f>
        <v>0.6417821782178218</v>
      </c>
      <c r="F107" s="2895">
        <f>0.6482/F101</f>
        <v>0.6417821782178218</v>
      </c>
      <c r="G107" s="2895">
        <f>0.6482/G101</f>
        <v>0.6417821782178218</v>
      </c>
      <c r="H107" s="2895">
        <f>0.6482/H101</f>
        <v>0.6417821782178218</v>
      </c>
      <c r="I107" s="2895">
        <f>0.6482/I101</f>
        <v>0.6417821782178218</v>
      </c>
      <c r="J107" s="2895">
        <f>0.4525/J101</f>
        <v>0.44801980198019803</v>
      </c>
      <c r="K107" s="2895">
        <f>0.4525/K101</f>
        <v>0.44801980198019803</v>
      </c>
      <c r="L107" s="2895">
        <f>0.4525/L101</f>
        <v>0.44801980198019803</v>
      </c>
      <c r="M107" s="2895">
        <f>0.4525/M101</f>
        <v>0.44801980198019803</v>
      </c>
      <c r="N107" s="2895">
        <f>0.4525/N101</f>
        <v>0.44801980198019803</v>
      </c>
    </row>
    <row r="108" spans="1:14">
      <c r="A108" s="3443"/>
      <c r="B108" s="3297" t="s">
        <v>2961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444"/>
      <c r="B109" s="3298"/>
      <c r="C109" s="2897">
        <f>(-0.163*(C108^2)-0.59*C108+7617)*(10^(-4))/C101</f>
        <v>0.75415841584158416</v>
      </c>
      <c r="D109" s="2897">
        <f>(-0.163*(D108^2)-0.59*D108+7617)*(10^(-4))/D101</f>
        <v>0.75415841584158416</v>
      </c>
      <c r="E109" s="2897">
        <f>(-0.161*(E108^2)-7.509*E108+6533)*(10^(-4))/E101</f>
        <v>0.64683168316831685</v>
      </c>
      <c r="F109" s="2897">
        <f>(-0.161*(F108^2)-7.509*F108+6533)*(10^(-4))/F101</f>
        <v>0.64683168316831685</v>
      </c>
      <c r="G109" s="2897">
        <f>(-0.161*(G108^2)-7.509*G108+6533)*(10^(-4))/G101</f>
        <v>0.64683168316831685</v>
      </c>
      <c r="H109" s="2897">
        <f>(-0.161*(H108^2)-7.509*H108+6533)*(10^(-4))/H101</f>
        <v>0.64683168316831685</v>
      </c>
      <c r="I109" s="2897">
        <f>(-0.161*(I108^2)-7.509*I108+6533)*(10^(-4))/I101</f>
        <v>0.64683168316831685</v>
      </c>
      <c r="J109" s="2897">
        <f>(-0.214*(J108^2)-21.991*J108+4665)*(10^(-4))/J101</f>
        <v>0.4618811881188119</v>
      </c>
      <c r="K109" s="2897">
        <f>(-0.214*(K108^2)-21.991*K108+4665)*(10^(-4))/K101</f>
        <v>0.4618811881188119</v>
      </c>
      <c r="L109" s="2897">
        <f>(-0.214*(L108^2)-21.991*L108+4665)*(10^(-4))/L101</f>
        <v>0.4618811881188119</v>
      </c>
      <c r="M109" s="2897">
        <f>(-0.214*(M108^2)-21.991*M108+4665)*(10^(-4))/M101</f>
        <v>0.4618811881188119</v>
      </c>
      <c r="N109" s="2897">
        <f>(-0.214*(N108^2)-21.991*N108+4665)*(10^(-4))/N101</f>
        <v>0.4618811881188119</v>
      </c>
    </row>
    <row r="110" spans="1:14">
      <c r="A110" s="3440" t="s">
        <v>2962</v>
      </c>
      <c r="B110" s="3440"/>
      <c r="C110" s="3440"/>
      <c r="D110" s="3440"/>
      <c r="E110" s="3440"/>
      <c r="F110" s="3440"/>
      <c r="G110" s="3440"/>
      <c r="H110" s="3440"/>
      <c r="I110" s="3440"/>
      <c r="J110" s="3440"/>
      <c r="K110" s="2900"/>
      <c r="L110" s="2900"/>
      <c r="M110" s="2900"/>
      <c r="N110" s="2900"/>
    </row>
    <row r="112" spans="1:14" ht="13.5" thickBot="1"/>
    <row r="113" spans="1:13" ht="25.5" thickBot="1">
      <c r="A113" s="902" t="s">
        <v>2963</v>
      </c>
      <c r="B113" s="1289">
        <f>G3</f>
        <v>1.01</v>
      </c>
      <c r="C113" s="903" t="s">
        <v>2964</v>
      </c>
      <c r="D113" s="904">
        <f>SUMPRODUCT((A115:A118=F113)*(B114:M114=H113)*B115:M118)</f>
        <v>0</v>
      </c>
      <c r="E113" s="2723" t="s">
        <v>2794</v>
      </c>
      <c r="F113" s="2902">
        <f>E2</f>
        <v>0</v>
      </c>
      <c r="G113" s="2723" t="s">
        <v>2795</v>
      </c>
      <c r="H113" s="2902">
        <f>G2</f>
        <v>0</v>
      </c>
      <c r="I113" s="2723"/>
      <c r="J113" s="2903"/>
      <c r="K113" s="2903"/>
      <c r="L113" s="2903"/>
      <c r="M113" s="2903"/>
    </row>
    <row r="114" spans="1:13">
      <c r="A114" s="907"/>
      <c r="B114" s="2904" t="s">
        <v>2965</v>
      </c>
      <c r="C114" s="2904" t="s">
        <v>2966</v>
      </c>
      <c r="D114" s="2904" t="s">
        <v>2967</v>
      </c>
      <c r="E114" s="2905" t="s">
        <v>2968</v>
      </c>
      <c r="F114" s="2905" t="s">
        <v>2969</v>
      </c>
      <c r="G114" s="2905" t="s">
        <v>2970</v>
      </c>
      <c r="H114" s="2906" t="s">
        <v>2971</v>
      </c>
      <c r="I114" s="2906" t="s">
        <v>2972</v>
      </c>
      <c r="J114" s="2907" t="s">
        <v>2973</v>
      </c>
      <c r="K114" s="2907" t="s">
        <v>2974</v>
      </c>
      <c r="L114" s="2907" t="s">
        <v>2975</v>
      </c>
      <c r="M114" s="2908" t="s">
        <v>2976</v>
      </c>
    </row>
    <row r="115" spans="1:13">
      <c r="A115" s="908" t="s">
        <v>2859</v>
      </c>
      <c r="B115" s="909">
        <f>ROUND(0.9335-0.0094*B113,4)</f>
        <v>0.92400000000000004</v>
      </c>
      <c r="C115" s="909">
        <f>B115</f>
        <v>0.92400000000000004</v>
      </c>
      <c r="D115" s="909">
        <f>ROUND(0.8331-0.0109*B113,4)</f>
        <v>0.82210000000000005</v>
      </c>
      <c r="E115" s="909">
        <f>D115</f>
        <v>0.82210000000000005</v>
      </c>
      <c r="F115" s="909">
        <f>E115</f>
        <v>0.82210000000000005</v>
      </c>
      <c r="G115" s="909">
        <f>F115</f>
        <v>0.82210000000000005</v>
      </c>
      <c r="H115" s="909">
        <f>G115</f>
        <v>0.82210000000000005</v>
      </c>
      <c r="I115" s="909">
        <f>ROUND(0.689-0.0155*B113,4)</f>
        <v>0.67330000000000001</v>
      </c>
      <c r="J115" s="909">
        <f t="shared" ref="J115:M118" si="33">I115</f>
        <v>0.67330000000000001</v>
      </c>
      <c r="K115" s="909">
        <f t="shared" si="33"/>
        <v>0.67330000000000001</v>
      </c>
      <c r="L115" s="909">
        <f t="shared" si="33"/>
        <v>0.67330000000000001</v>
      </c>
      <c r="M115" s="910">
        <f t="shared" si="33"/>
        <v>0.67330000000000001</v>
      </c>
    </row>
    <row r="116" spans="1:13">
      <c r="A116" s="908" t="s">
        <v>2860</v>
      </c>
      <c r="B116" s="909">
        <f>ROUND(0.949-0.012*B113,4)</f>
        <v>0.93689999999999996</v>
      </c>
      <c r="C116" s="909">
        <f>B116</f>
        <v>0.93689999999999996</v>
      </c>
      <c r="D116" s="909">
        <f>ROUND(0.8567-0.013*B113,4)</f>
        <v>0.84360000000000002</v>
      </c>
      <c r="E116" s="909">
        <f t="shared" ref="E116:H117" si="34">D116</f>
        <v>0.84360000000000002</v>
      </c>
      <c r="F116" s="909">
        <f t="shared" si="34"/>
        <v>0.84360000000000002</v>
      </c>
      <c r="G116" s="909">
        <f t="shared" si="34"/>
        <v>0.84360000000000002</v>
      </c>
      <c r="H116" s="909">
        <f t="shared" si="34"/>
        <v>0.84360000000000002</v>
      </c>
      <c r="I116" s="909">
        <f>ROUND(0.7694-0.014*B113,4)</f>
        <v>0.75529999999999997</v>
      </c>
      <c r="J116" s="909">
        <f t="shared" si="33"/>
        <v>0.75529999999999997</v>
      </c>
      <c r="K116" s="909">
        <f t="shared" si="33"/>
        <v>0.75529999999999997</v>
      </c>
      <c r="L116" s="909">
        <f t="shared" si="33"/>
        <v>0.75529999999999997</v>
      </c>
      <c r="M116" s="910">
        <f t="shared" si="33"/>
        <v>0.75529999999999997</v>
      </c>
    </row>
    <row r="117" spans="1:13">
      <c r="A117" s="908" t="s">
        <v>2861</v>
      </c>
      <c r="B117" s="909">
        <f>ROUND(0.8808-0.006*B113,4)</f>
        <v>0.87470000000000003</v>
      </c>
      <c r="C117" s="909">
        <f>B117</f>
        <v>0.87470000000000003</v>
      </c>
      <c r="D117" s="909">
        <f>ROUND(0.8748-0.008*B113,4)</f>
        <v>0.86670000000000003</v>
      </c>
      <c r="E117" s="909">
        <f t="shared" si="34"/>
        <v>0.86670000000000003</v>
      </c>
      <c r="F117" s="909">
        <f t="shared" si="34"/>
        <v>0.86670000000000003</v>
      </c>
      <c r="G117" s="909">
        <f t="shared" si="34"/>
        <v>0.86670000000000003</v>
      </c>
      <c r="H117" s="909">
        <f t="shared" si="34"/>
        <v>0.86670000000000003</v>
      </c>
      <c r="I117" s="909">
        <f>ROUND(0.7412-0.0095*B113,4)</f>
        <v>0.73160000000000003</v>
      </c>
      <c r="J117" s="909">
        <f t="shared" si="33"/>
        <v>0.73160000000000003</v>
      </c>
      <c r="K117" s="909">
        <f t="shared" si="33"/>
        <v>0.73160000000000003</v>
      </c>
      <c r="L117" s="909">
        <f t="shared" si="33"/>
        <v>0.73160000000000003</v>
      </c>
      <c r="M117" s="910">
        <f t="shared" si="33"/>
        <v>0.73160000000000003</v>
      </c>
    </row>
    <row r="118" spans="1:13" ht="13.5" thickBot="1">
      <c r="A118" s="713" t="s">
        <v>2862</v>
      </c>
      <c r="B118" s="911">
        <f>ROUND(0.7275-0.01*B113,4)</f>
        <v>0.71740000000000004</v>
      </c>
      <c r="C118" s="911">
        <f>B118</f>
        <v>0.71740000000000004</v>
      </c>
      <c r="D118" s="911">
        <f>ROUND(0.7043-0.012*B113,4)</f>
        <v>0.69220000000000004</v>
      </c>
      <c r="E118" s="911">
        <f>D118</f>
        <v>0.69220000000000004</v>
      </c>
      <c r="F118" s="911">
        <f>E118</f>
        <v>0.69220000000000004</v>
      </c>
      <c r="G118" s="911">
        <f>ROUND(0.6299-0.0122*B113,4)</f>
        <v>0.61760000000000004</v>
      </c>
      <c r="H118" s="911">
        <f>G118</f>
        <v>0.61760000000000004</v>
      </c>
      <c r="I118" s="911">
        <f>ROUND(0.5667-0.0136*B113,4)</f>
        <v>0.55300000000000005</v>
      </c>
      <c r="J118" s="911">
        <f t="shared" si="33"/>
        <v>0.55300000000000005</v>
      </c>
      <c r="K118" s="911">
        <f t="shared" si="33"/>
        <v>0.55300000000000005</v>
      </c>
      <c r="L118" s="911">
        <f t="shared" si="33"/>
        <v>0.55300000000000005</v>
      </c>
      <c r="M118" s="912">
        <f t="shared" si="33"/>
        <v>0.55300000000000005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48" t="s">
        <v>183</v>
      </c>
      <c r="B18" s="881" t="s">
        <v>560</v>
      </c>
      <c r="C18" s="882" t="s">
        <v>561</v>
      </c>
      <c r="D18" s="883"/>
      <c r="E18" s="881">
        <v>1</v>
      </c>
      <c r="F18" s="884" t="s">
        <v>562</v>
      </c>
      <c r="G18" s="885"/>
      <c r="H18" s="877"/>
      <c r="I18" s="877"/>
    </row>
    <row r="19" spans="1:9" s="886" customFormat="1" ht="19.5" customHeight="1">
      <c r="A19" s="3448"/>
      <c r="B19" s="3448" t="s">
        <v>563</v>
      </c>
      <c r="C19" s="882" t="s">
        <v>564</v>
      </c>
      <c r="D19" s="883"/>
      <c r="E19" s="881">
        <v>0.9</v>
      </c>
      <c r="F19" s="884" t="s">
        <v>565</v>
      </c>
      <c r="G19" s="885"/>
      <c r="H19" s="877"/>
      <c r="I19" s="877"/>
    </row>
    <row r="20" spans="1:9" s="886" customFormat="1" ht="19.5" customHeight="1">
      <c r="A20" s="3448"/>
      <c r="B20" s="3448"/>
      <c r="C20" s="882" t="s">
        <v>566</v>
      </c>
      <c r="D20" s="883"/>
      <c r="E20" s="881">
        <v>1.1000000000000001</v>
      </c>
      <c r="F20" s="884" t="s">
        <v>567</v>
      </c>
      <c r="G20" s="885"/>
      <c r="H20" s="877"/>
      <c r="I20" s="877"/>
    </row>
    <row r="21" spans="1:9" s="886" customFormat="1" ht="19.5" customHeight="1">
      <c r="A21" s="3448"/>
      <c r="B21" s="3448"/>
      <c r="C21" s="882" t="s">
        <v>568</v>
      </c>
      <c r="D21" s="883"/>
      <c r="E21" s="881">
        <v>0.8</v>
      </c>
      <c r="F21" s="884" t="s">
        <v>569</v>
      </c>
      <c r="G21" s="885"/>
      <c r="H21" s="877"/>
      <c r="I21" s="877"/>
    </row>
    <row r="22" spans="1:9" s="886" customFormat="1" ht="19.5" customHeight="1">
      <c r="A22" s="3448"/>
      <c r="B22" s="3448"/>
      <c r="C22" s="882" t="s">
        <v>570</v>
      </c>
      <c r="D22" s="883"/>
      <c r="E22" s="881">
        <v>0.5</v>
      </c>
      <c r="F22" s="884"/>
      <c r="G22" s="885"/>
      <c r="H22" s="877"/>
      <c r="I22" s="877"/>
    </row>
    <row r="23" spans="1:9" s="886" customFormat="1" ht="19.5" customHeight="1">
      <c r="A23" s="3448" t="s">
        <v>184</v>
      </c>
      <c r="B23" s="881" t="s">
        <v>560</v>
      </c>
      <c r="C23" s="882" t="s">
        <v>571</v>
      </c>
      <c r="D23" s="883"/>
      <c r="E23" s="881">
        <v>1</v>
      </c>
      <c r="F23" s="884" t="s">
        <v>572</v>
      </c>
      <c r="G23" s="885"/>
      <c r="H23" s="877"/>
      <c r="I23" s="877"/>
    </row>
    <row r="24" spans="1:9" s="886" customFormat="1" ht="19.5" customHeight="1">
      <c r="A24" s="3448"/>
      <c r="B24" s="3448" t="s">
        <v>563</v>
      </c>
      <c r="C24" s="882" t="s">
        <v>573</v>
      </c>
      <c r="D24" s="883"/>
      <c r="E24" s="881">
        <v>0.5</v>
      </c>
      <c r="F24" s="884"/>
      <c r="G24" s="885"/>
      <c r="H24" s="877"/>
      <c r="I24" s="877"/>
    </row>
    <row r="25" spans="1:9" s="886" customFormat="1" ht="19.5" customHeight="1">
      <c r="A25" s="3448"/>
      <c r="B25" s="3448"/>
      <c r="C25" s="882" t="s">
        <v>574</v>
      </c>
      <c r="D25" s="883"/>
      <c r="E25" s="881">
        <v>1.1000000000000001</v>
      </c>
      <c r="F25" s="884"/>
      <c r="G25" s="885"/>
      <c r="H25" s="877"/>
      <c r="I25" s="877"/>
    </row>
    <row r="26" spans="1:9" s="886" customFormat="1" ht="19.5" customHeight="1">
      <c r="A26" s="3448"/>
      <c r="B26" s="3448"/>
      <c r="C26" s="882" t="s">
        <v>575</v>
      </c>
      <c r="D26" s="883"/>
      <c r="E26" s="881">
        <v>1.1000000000000001</v>
      </c>
      <c r="F26" s="884"/>
      <c r="G26" s="885"/>
      <c r="H26" s="877"/>
      <c r="I26" s="877"/>
    </row>
    <row r="27" spans="1:9" s="886" customFormat="1" ht="19.5" customHeight="1">
      <c r="A27" s="3448"/>
      <c r="B27" s="3448"/>
      <c r="C27" s="882" t="s">
        <v>576</v>
      </c>
      <c r="D27" s="883"/>
      <c r="E27" s="881">
        <v>0.9</v>
      </c>
      <c r="F27" s="884" t="s">
        <v>577</v>
      </c>
      <c r="G27" s="885"/>
      <c r="H27" s="877"/>
      <c r="I27" s="877"/>
    </row>
    <row r="28" spans="1:9" s="886" customFormat="1" ht="19.5" customHeight="1">
      <c r="A28" s="3448"/>
      <c r="B28" s="3448"/>
      <c r="C28" s="882" t="s">
        <v>578</v>
      </c>
      <c r="D28" s="883"/>
      <c r="E28" s="881">
        <v>0.9</v>
      </c>
      <c r="F28" s="884" t="s">
        <v>579</v>
      </c>
      <c r="G28" s="885"/>
      <c r="H28" s="877"/>
      <c r="I28" s="877"/>
    </row>
    <row r="29" spans="1:9" s="886" customFormat="1" ht="19.5" customHeight="1">
      <c r="A29" s="3448"/>
      <c r="B29" s="3448"/>
      <c r="C29" s="882" t="s">
        <v>580</v>
      </c>
      <c r="D29" s="883"/>
      <c r="E29" s="881">
        <v>0.9</v>
      </c>
      <c r="F29" s="884" t="s">
        <v>581</v>
      </c>
      <c r="G29" s="885"/>
      <c r="H29" s="877"/>
      <c r="I29" s="877"/>
    </row>
    <row r="30" spans="1:9" s="886" customFormat="1" ht="19.5" customHeight="1">
      <c r="A30" s="3448"/>
      <c r="B30" s="3448"/>
      <c r="C30" s="882" t="s">
        <v>582</v>
      </c>
      <c r="D30" s="883"/>
      <c r="E30" s="881">
        <v>0.9</v>
      </c>
      <c r="F30" s="884" t="s">
        <v>583</v>
      </c>
      <c r="G30" s="885"/>
      <c r="H30" s="877"/>
      <c r="I30" s="877"/>
    </row>
    <row r="31" spans="1:9" s="886" customFormat="1" ht="19.5" customHeight="1">
      <c r="A31" s="3448"/>
      <c r="B31" s="3448"/>
      <c r="C31" s="882" t="s">
        <v>584</v>
      </c>
      <c r="D31" s="883"/>
      <c r="E31" s="881">
        <v>0.8</v>
      </c>
      <c r="F31" s="884" t="s">
        <v>585</v>
      </c>
      <c r="G31" s="885"/>
      <c r="H31" s="877"/>
      <c r="I31" s="877"/>
    </row>
    <row r="32" spans="1:9" s="886" customFormat="1" ht="19.5" customHeight="1">
      <c r="A32" s="3448"/>
      <c r="B32" s="3448"/>
      <c r="C32" s="882" t="s">
        <v>586</v>
      </c>
      <c r="D32" s="883"/>
      <c r="E32" s="881">
        <v>0.8</v>
      </c>
      <c r="F32" s="884" t="s">
        <v>587</v>
      </c>
      <c r="G32" s="885"/>
      <c r="H32" s="877"/>
      <c r="I32" s="877"/>
    </row>
    <row r="33" spans="1:9" s="886" customFormat="1" ht="19.5" customHeight="1">
      <c r="A33" s="3448" t="s">
        <v>185</v>
      </c>
      <c r="B33" s="881" t="s">
        <v>560</v>
      </c>
      <c r="C33" s="882" t="s">
        <v>588</v>
      </c>
      <c r="D33" s="883"/>
      <c r="E33" s="881">
        <v>1</v>
      </c>
      <c r="F33" s="884" t="s">
        <v>589</v>
      </c>
      <c r="G33" s="885"/>
      <c r="H33" s="877"/>
      <c r="I33" s="877"/>
    </row>
    <row r="34" spans="1:9" s="886" customFormat="1" ht="19.5" customHeight="1">
      <c r="A34" s="3448"/>
      <c r="B34" s="881" t="s">
        <v>563</v>
      </c>
      <c r="C34" s="882" t="s">
        <v>590</v>
      </c>
      <c r="D34" s="883"/>
      <c r="E34" s="881">
        <v>1.5</v>
      </c>
      <c r="F34" s="884" t="s">
        <v>591</v>
      </c>
      <c r="G34" s="885"/>
      <c r="H34" s="877"/>
      <c r="I34" s="877"/>
    </row>
    <row r="35" spans="1:9" s="886" customFormat="1" ht="19.5" customHeight="1">
      <c r="A35" s="3448" t="s">
        <v>186</v>
      </c>
      <c r="B35" s="881" t="s">
        <v>560</v>
      </c>
      <c r="C35" s="882" t="s">
        <v>592</v>
      </c>
      <c r="D35" s="883"/>
      <c r="E35" s="881">
        <v>1</v>
      </c>
      <c r="F35" s="884" t="s">
        <v>593</v>
      </c>
      <c r="G35" s="885"/>
      <c r="H35" s="877"/>
      <c r="I35" s="877"/>
    </row>
    <row r="36" spans="1:9" s="886" customFormat="1" ht="19.5" customHeight="1">
      <c r="A36" s="3448"/>
      <c r="B36" s="3448" t="s">
        <v>563</v>
      </c>
      <c r="C36" s="882" t="s">
        <v>594</v>
      </c>
      <c r="D36" s="883"/>
      <c r="E36" s="881">
        <v>1</v>
      </c>
      <c r="F36" s="884" t="s">
        <v>595</v>
      </c>
      <c r="G36" s="885"/>
      <c r="H36" s="877"/>
      <c r="I36" s="877"/>
    </row>
    <row r="37" spans="1:9" s="886" customFormat="1" ht="19.5" customHeight="1">
      <c r="A37" s="3448"/>
      <c r="B37" s="3448"/>
      <c r="C37" s="882" t="s">
        <v>596</v>
      </c>
      <c r="D37" s="883"/>
      <c r="E37" s="881">
        <v>1.5</v>
      </c>
      <c r="F37" s="884" t="s">
        <v>597</v>
      </c>
      <c r="G37" s="885"/>
      <c r="H37" s="877"/>
      <c r="I37" s="877"/>
    </row>
    <row r="38" spans="1:9" s="886" customFormat="1" ht="19.5" customHeight="1">
      <c r="A38" s="3448"/>
      <c r="B38" s="3448"/>
      <c r="C38" s="882" t="s">
        <v>598</v>
      </c>
      <c r="D38" s="883"/>
      <c r="E38" s="881">
        <v>1</v>
      </c>
      <c r="F38" s="884" t="s">
        <v>599</v>
      </c>
      <c r="G38" s="885"/>
      <c r="H38" s="877"/>
      <c r="I38" s="877"/>
    </row>
    <row r="39" spans="1:9" s="886" customFormat="1" ht="19.5" customHeight="1">
      <c r="A39" s="3448"/>
      <c r="B39" s="344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48" t="s">
        <v>614</v>
      </c>
      <c r="C61" s="817" t="s">
        <v>615</v>
      </c>
      <c r="D61" s="817" t="s">
        <v>616</v>
      </c>
      <c r="E61" s="894">
        <v>0.5</v>
      </c>
      <c r="F61" s="881">
        <v>80</v>
      </c>
    </row>
    <row r="62" spans="1:8" s="877" customFormat="1" ht="24">
      <c r="A62" s="881">
        <v>2</v>
      </c>
      <c r="B62" s="3448"/>
      <c r="C62" s="817" t="s">
        <v>617</v>
      </c>
      <c r="D62" s="817" t="s">
        <v>618</v>
      </c>
      <c r="E62" s="894">
        <v>0.5</v>
      </c>
      <c r="F62" s="881">
        <v>80</v>
      </c>
    </row>
    <row r="63" spans="1:8" s="877" customFormat="1" ht="36">
      <c r="A63" s="881">
        <v>3</v>
      </c>
      <c r="B63" s="3448"/>
      <c r="C63" s="817" t="s">
        <v>619</v>
      </c>
      <c r="D63" s="817" t="s">
        <v>620</v>
      </c>
      <c r="E63" s="894">
        <v>0.5</v>
      </c>
      <c r="F63" s="881">
        <v>80</v>
      </c>
    </row>
    <row r="64" spans="1:8" s="877" customFormat="1" ht="36">
      <c r="A64" s="881">
        <v>4</v>
      </c>
      <c r="B64" s="3448"/>
      <c r="C64" s="817" t="s">
        <v>621</v>
      </c>
      <c r="D64" s="817" t="s">
        <v>622</v>
      </c>
      <c r="E64" s="894">
        <v>0.4</v>
      </c>
      <c r="F64" s="881">
        <v>60</v>
      </c>
    </row>
    <row r="65" spans="1:6" s="877" customFormat="1" ht="36">
      <c r="A65" s="881">
        <v>5</v>
      </c>
      <c r="B65" s="3448"/>
      <c r="C65" s="817" t="s">
        <v>623</v>
      </c>
      <c r="D65" s="817" t="s">
        <v>624</v>
      </c>
      <c r="E65" s="894">
        <v>0.2</v>
      </c>
      <c r="F65" s="881">
        <v>30</v>
      </c>
    </row>
    <row r="66" spans="1:6" s="877" customFormat="1" ht="36">
      <c r="A66" s="881">
        <v>6</v>
      </c>
      <c r="B66" s="3448"/>
      <c r="C66" s="817" t="s">
        <v>625</v>
      </c>
      <c r="D66" s="817" t="s">
        <v>626</v>
      </c>
      <c r="E66" s="894">
        <v>0.3</v>
      </c>
      <c r="F66" s="881">
        <v>50</v>
      </c>
    </row>
    <row r="67" spans="1:6" s="877" customFormat="1" ht="36">
      <c r="A67" s="881">
        <v>7</v>
      </c>
      <c r="B67" s="3448"/>
      <c r="C67" s="817" t="s">
        <v>627</v>
      </c>
      <c r="D67" s="817" t="s">
        <v>628</v>
      </c>
      <c r="E67" s="894">
        <v>0.2</v>
      </c>
      <c r="F67" s="881">
        <v>30</v>
      </c>
    </row>
    <row r="68" spans="1:6" s="877" customFormat="1" ht="36">
      <c r="A68" s="881">
        <v>8</v>
      </c>
      <c r="B68" s="3448"/>
      <c r="C68" s="817" t="s">
        <v>629</v>
      </c>
      <c r="D68" s="817" t="s">
        <v>630</v>
      </c>
      <c r="E68" s="894">
        <v>0.2</v>
      </c>
      <c r="F68" s="881">
        <v>30</v>
      </c>
    </row>
    <row r="69" spans="1:6" s="877" customFormat="1" ht="36">
      <c r="A69" s="881">
        <v>9</v>
      </c>
      <c r="B69" s="3448"/>
      <c r="C69" s="817" t="s">
        <v>631</v>
      </c>
      <c r="D69" s="817" t="s">
        <v>632</v>
      </c>
      <c r="E69" s="894">
        <v>0.2</v>
      </c>
      <c r="F69" s="881">
        <v>30</v>
      </c>
    </row>
    <row r="70" spans="1:6" s="877" customFormat="1" ht="48">
      <c r="A70" s="881">
        <v>10</v>
      </c>
      <c r="B70" s="3448"/>
      <c r="C70" s="817" t="s">
        <v>633</v>
      </c>
      <c r="D70" s="817" t="s">
        <v>634</v>
      </c>
      <c r="E70" s="894">
        <v>0.2</v>
      </c>
      <c r="F70" s="881">
        <v>30</v>
      </c>
    </row>
    <row r="71" spans="1:6" s="877" customFormat="1" ht="48">
      <c r="A71" s="881">
        <v>11</v>
      </c>
      <c r="B71" s="3448"/>
      <c r="C71" s="817" t="s">
        <v>635</v>
      </c>
      <c r="D71" s="817" t="s">
        <v>636</v>
      </c>
      <c r="E71" s="894">
        <v>0.2</v>
      </c>
      <c r="F71" s="881">
        <v>30</v>
      </c>
    </row>
    <row r="72" spans="1:6" s="877" customFormat="1" ht="36">
      <c r="A72" s="881">
        <v>12</v>
      </c>
      <c r="B72" s="3448"/>
      <c r="C72" s="817" t="s">
        <v>637</v>
      </c>
      <c r="D72" s="817" t="s">
        <v>638</v>
      </c>
      <c r="E72" s="894">
        <v>0.5</v>
      </c>
      <c r="F72" s="881">
        <v>80</v>
      </c>
    </row>
    <row r="73" spans="1:6" s="877" customFormat="1" ht="24">
      <c r="A73" s="881">
        <v>13</v>
      </c>
      <c r="B73" s="3448"/>
      <c r="C73" s="817" t="s">
        <v>639</v>
      </c>
      <c r="D73" s="817" t="s">
        <v>640</v>
      </c>
      <c r="E73" s="894">
        <v>0.4</v>
      </c>
      <c r="F73" s="881">
        <v>60</v>
      </c>
    </row>
    <row r="74" spans="1:6" s="877" customFormat="1" ht="24">
      <c r="A74" s="881">
        <v>14</v>
      </c>
      <c r="B74" s="3448"/>
      <c r="C74" s="817" t="s">
        <v>641</v>
      </c>
      <c r="D74" s="817" t="s">
        <v>642</v>
      </c>
      <c r="E74" s="894">
        <v>0.2</v>
      </c>
      <c r="F74" s="881">
        <v>30</v>
      </c>
    </row>
    <row r="75" spans="1:6" s="877" customFormat="1" ht="24">
      <c r="A75" s="881">
        <v>15</v>
      </c>
      <c r="B75" s="3448"/>
      <c r="C75" s="817" t="s">
        <v>643</v>
      </c>
      <c r="D75" s="817" t="s">
        <v>644</v>
      </c>
      <c r="E75" s="894">
        <v>0.2</v>
      </c>
      <c r="F75" s="881">
        <v>30</v>
      </c>
    </row>
    <row r="76" spans="1:6" s="877" customFormat="1" ht="24">
      <c r="A76" s="881">
        <v>16</v>
      </c>
      <c r="B76" s="3448" t="s">
        <v>645</v>
      </c>
      <c r="C76" s="817" t="s">
        <v>646</v>
      </c>
      <c r="D76" s="817" t="s">
        <v>647</v>
      </c>
      <c r="E76" s="894">
        <v>0.5</v>
      </c>
      <c r="F76" s="881">
        <v>80</v>
      </c>
    </row>
    <row r="77" spans="1:6" s="877" customFormat="1" ht="24">
      <c r="A77" s="881">
        <v>17</v>
      </c>
      <c r="B77" s="3448"/>
      <c r="C77" s="817" t="s">
        <v>648</v>
      </c>
      <c r="D77" s="817" t="s">
        <v>649</v>
      </c>
      <c r="E77" s="894">
        <v>0.5</v>
      </c>
      <c r="F77" s="881">
        <v>80</v>
      </c>
    </row>
    <row r="78" spans="1:6" s="877" customFormat="1" ht="24">
      <c r="A78" s="881">
        <v>18</v>
      </c>
      <c r="B78" s="3448"/>
      <c r="C78" s="817" t="s">
        <v>650</v>
      </c>
      <c r="D78" s="817" t="s">
        <v>651</v>
      </c>
      <c r="E78" s="894">
        <v>0.2</v>
      </c>
      <c r="F78" s="881">
        <v>30</v>
      </c>
    </row>
    <row r="79" spans="1:6" s="877" customFormat="1" ht="24">
      <c r="A79" s="881">
        <v>19</v>
      </c>
      <c r="B79" s="3448"/>
      <c r="C79" s="817" t="s">
        <v>652</v>
      </c>
      <c r="D79" s="817" t="s">
        <v>653</v>
      </c>
      <c r="E79" s="894">
        <v>0.5</v>
      </c>
      <c r="F79" s="881">
        <v>80</v>
      </c>
    </row>
    <row r="80" spans="1:6" s="877" customFormat="1" ht="36">
      <c r="A80" s="881">
        <v>20</v>
      </c>
      <c r="B80" s="3448"/>
      <c r="C80" s="817" t="s">
        <v>654</v>
      </c>
      <c r="D80" s="817" t="s">
        <v>655</v>
      </c>
      <c r="E80" s="894">
        <v>0.2</v>
      </c>
      <c r="F80" s="881">
        <v>30</v>
      </c>
    </row>
    <row r="81" spans="1:6" s="877" customFormat="1" ht="36">
      <c r="A81" s="881">
        <v>21</v>
      </c>
      <c r="B81" s="3448"/>
      <c r="C81" s="817" t="s">
        <v>656</v>
      </c>
      <c r="D81" s="817" t="s">
        <v>657</v>
      </c>
      <c r="E81" s="894">
        <v>0.2</v>
      </c>
      <c r="F81" s="881">
        <v>30</v>
      </c>
    </row>
    <row r="82" spans="1:6" s="877" customFormat="1" ht="48">
      <c r="A82" s="881">
        <v>22</v>
      </c>
      <c r="B82" s="3448"/>
      <c r="C82" s="817" t="s">
        <v>658</v>
      </c>
      <c r="D82" s="817" t="s">
        <v>659</v>
      </c>
      <c r="E82" s="894">
        <v>0.2</v>
      </c>
      <c r="F82" s="881">
        <v>30</v>
      </c>
    </row>
    <row r="83" spans="1:6" s="877" customFormat="1" ht="48">
      <c r="A83" s="881">
        <v>23</v>
      </c>
      <c r="B83" s="3448"/>
      <c r="C83" s="817" t="s">
        <v>660</v>
      </c>
      <c r="D83" s="817" t="s">
        <v>661</v>
      </c>
      <c r="E83" s="894">
        <v>0.2</v>
      </c>
      <c r="F83" s="881">
        <v>30</v>
      </c>
    </row>
    <row r="84" spans="1:6" s="877" customFormat="1" ht="36">
      <c r="A84" s="881">
        <v>24</v>
      </c>
      <c r="B84" s="3448"/>
      <c r="C84" s="817" t="s">
        <v>662</v>
      </c>
      <c r="D84" s="817" t="s">
        <v>663</v>
      </c>
      <c r="E84" s="894">
        <v>0.2</v>
      </c>
      <c r="F84" s="881">
        <v>30</v>
      </c>
    </row>
    <row r="85" spans="1:6" s="877" customFormat="1" ht="36">
      <c r="A85" s="881">
        <v>25</v>
      </c>
      <c r="B85" s="3448"/>
      <c r="C85" s="817" t="s">
        <v>664</v>
      </c>
      <c r="D85" s="817" t="s">
        <v>665</v>
      </c>
      <c r="E85" s="894">
        <v>0.5</v>
      </c>
      <c r="F85" s="881">
        <v>80</v>
      </c>
    </row>
    <row r="86" spans="1:6" s="877" customFormat="1" ht="36">
      <c r="A86" s="881">
        <v>26</v>
      </c>
      <c r="B86" s="3448"/>
      <c r="C86" s="817" t="s">
        <v>666</v>
      </c>
      <c r="D86" s="817" t="s">
        <v>667</v>
      </c>
      <c r="E86" s="894">
        <v>0.2</v>
      </c>
      <c r="F86" s="881">
        <v>30</v>
      </c>
    </row>
    <row r="87" spans="1:6" s="877" customFormat="1" ht="36">
      <c r="A87" s="881">
        <v>27</v>
      </c>
      <c r="B87" s="3448"/>
      <c r="C87" s="817" t="s">
        <v>668</v>
      </c>
      <c r="D87" s="817" t="s">
        <v>669</v>
      </c>
      <c r="E87" s="894">
        <v>0.2</v>
      </c>
      <c r="F87" s="881">
        <v>30</v>
      </c>
    </row>
    <row r="88" spans="1:6" s="877" customFormat="1" ht="36">
      <c r="A88" s="881">
        <v>28</v>
      </c>
      <c r="B88" s="3448"/>
      <c r="C88" s="817" t="s">
        <v>670</v>
      </c>
      <c r="D88" s="817" t="s">
        <v>671</v>
      </c>
      <c r="E88" s="894">
        <v>0.2</v>
      </c>
      <c r="F88" s="881">
        <v>30</v>
      </c>
    </row>
    <row r="89" spans="1:6" s="877" customFormat="1" ht="24">
      <c r="A89" s="881">
        <v>29</v>
      </c>
      <c r="B89" s="3448"/>
      <c r="C89" s="817" t="s">
        <v>672</v>
      </c>
      <c r="D89" s="817" t="s">
        <v>673</v>
      </c>
      <c r="E89" s="894">
        <v>0.2</v>
      </c>
      <c r="F89" s="881">
        <v>30</v>
      </c>
    </row>
    <row r="90" spans="1:6" s="877" customFormat="1" ht="24">
      <c r="A90" s="881">
        <v>30</v>
      </c>
      <c r="B90" s="3448"/>
      <c r="C90" s="817" t="s">
        <v>674</v>
      </c>
      <c r="D90" s="817" t="s">
        <v>675</v>
      </c>
      <c r="E90" s="894">
        <v>0.2</v>
      </c>
      <c r="F90" s="881">
        <v>30</v>
      </c>
    </row>
    <row r="91" spans="1:6" s="877" customFormat="1" ht="36">
      <c r="A91" s="881">
        <v>31</v>
      </c>
      <c r="B91" s="3448"/>
      <c r="C91" s="817" t="s">
        <v>676</v>
      </c>
      <c r="D91" s="817" t="s">
        <v>677</v>
      </c>
      <c r="E91" s="894">
        <v>0.2</v>
      </c>
      <c r="F91" s="881">
        <v>30</v>
      </c>
    </row>
    <row r="92" spans="1:6" s="877" customFormat="1" ht="24">
      <c r="A92" s="881">
        <v>32</v>
      </c>
      <c r="B92" s="3448" t="s">
        <v>678</v>
      </c>
      <c r="C92" s="881" t="s">
        <v>679</v>
      </c>
      <c r="D92" s="817" t="s">
        <v>680</v>
      </c>
      <c r="E92" s="894">
        <v>0.2</v>
      </c>
      <c r="F92" s="881">
        <v>30</v>
      </c>
    </row>
    <row r="93" spans="1:6" s="877" customFormat="1" ht="36">
      <c r="A93" s="881">
        <v>33</v>
      </c>
      <c r="B93" s="3448"/>
      <c r="C93" s="881" t="s">
        <v>681</v>
      </c>
      <c r="D93" s="817" t="s">
        <v>682</v>
      </c>
      <c r="E93" s="894">
        <v>0.2</v>
      </c>
      <c r="F93" s="881">
        <v>30</v>
      </c>
    </row>
    <row r="94" spans="1:6" s="877" customFormat="1" ht="48">
      <c r="A94" s="881">
        <v>34</v>
      </c>
      <c r="B94" s="3448"/>
      <c r="C94" s="881" t="s">
        <v>683</v>
      </c>
      <c r="D94" s="817" t="s">
        <v>684</v>
      </c>
      <c r="E94" s="894">
        <v>0.2</v>
      </c>
      <c r="F94" s="881">
        <v>30</v>
      </c>
    </row>
    <row r="95" spans="1:6" s="877" customFormat="1" ht="36">
      <c r="A95" s="881">
        <v>35</v>
      </c>
      <c r="B95" s="3448"/>
      <c r="C95" s="881" t="s">
        <v>685</v>
      </c>
      <c r="D95" s="817" t="s">
        <v>686</v>
      </c>
      <c r="E95" s="894">
        <v>0.2</v>
      </c>
      <c r="F95" s="881">
        <v>30</v>
      </c>
    </row>
    <row r="96" spans="1:6" s="877" customFormat="1" ht="48">
      <c r="A96" s="881">
        <v>36</v>
      </c>
      <c r="B96" s="3448"/>
      <c r="C96" s="817" t="s">
        <v>687</v>
      </c>
      <c r="D96" s="817" t="s">
        <v>688</v>
      </c>
      <c r="E96" s="894">
        <v>0.2</v>
      </c>
      <c r="F96" s="881">
        <v>30</v>
      </c>
    </row>
    <row r="97" spans="1:6" s="877" customFormat="1" ht="36">
      <c r="A97" s="881">
        <v>37</v>
      </c>
      <c r="B97" s="3448"/>
      <c r="C97" s="881" t="s">
        <v>689</v>
      </c>
      <c r="D97" s="817" t="s">
        <v>690</v>
      </c>
      <c r="E97" s="894">
        <v>0.2</v>
      </c>
      <c r="F97" s="881">
        <v>30</v>
      </c>
    </row>
    <row r="98" spans="1:6" s="877" customFormat="1" ht="36">
      <c r="A98" s="881">
        <v>38</v>
      </c>
      <c r="B98" s="3448"/>
      <c r="C98" s="881" t="s">
        <v>691</v>
      </c>
      <c r="D98" s="817" t="s">
        <v>692</v>
      </c>
      <c r="E98" s="894">
        <v>0.2</v>
      </c>
      <c r="F98" s="881">
        <v>30</v>
      </c>
    </row>
    <row r="99" spans="1:6" s="877" customFormat="1" ht="36">
      <c r="A99" s="881">
        <v>39</v>
      </c>
      <c r="B99" s="3448" t="s">
        <v>693</v>
      </c>
      <c r="C99" s="881" t="s">
        <v>694</v>
      </c>
      <c r="D99" s="817" t="s">
        <v>695</v>
      </c>
      <c r="E99" s="894">
        <v>0.3</v>
      </c>
      <c r="F99" s="881">
        <v>50</v>
      </c>
    </row>
    <row r="100" spans="1:6" s="877" customFormat="1" ht="24">
      <c r="A100" s="881">
        <v>40</v>
      </c>
      <c r="B100" s="3448"/>
      <c r="C100" s="881" t="s">
        <v>696</v>
      </c>
      <c r="D100" s="817" t="s">
        <v>697</v>
      </c>
      <c r="E100" s="894">
        <v>0.2</v>
      </c>
      <c r="F100" s="881">
        <v>30</v>
      </c>
    </row>
    <row r="101" spans="1:6" s="877" customFormat="1" ht="36">
      <c r="A101" s="881">
        <v>41</v>
      </c>
      <c r="B101" s="344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48" t="s">
        <v>708</v>
      </c>
      <c r="C105" s="881" t="s">
        <v>709</v>
      </c>
      <c r="D105" s="817" t="s">
        <v>710</v>
      </c>
      <c r="E105" s="894">
        <v>0.2</v>
      </c>
      <c r="F105" s="881">
        <v>30</v>
      </c>
    </row>
    <row r="106" spans="1:6" s="877" customFormat="1" ht="36">
      <c r="A106" s="881">
        <v>46</v>
      </c>
      <c r="B106" s="3448"/>
      <c r="C106" s="881" t="s">
        <v>711</v>
      </c>
      <c r="D106" s="817" t="s">
        <v>712</v>
      </c>
      <c r="E106" s="894">
        <v>0.2</v>
      </c>
      <c r="F106" s="881">
        <v>30</v>
      </c>
    </row>
    <row r="107" spans="1:6" s="877" customFormat="1" ht="36">
      <c r="A107" s="881">
        <v>47</v>
      </c>
      <c r="B107" s="3448" t="s">
        <v>713</v>
      </c>
      <c r="C107" s="881" t="s">
        <v>714</v>
      </c>
      <c r="D107" s="817" t="s">
        <v>715</v>
      </c>
      <c r="E107" s="894">
        <v>0.3</v>
      </c>
      <c r="F107" s="881">
        <v>50</v>
      </c>
    </row>
    <row r="108" spans="1:6" s="877" customFormat="1" ht="36">
      <c r="A108" s="881">
        <v>48</v>
      </c>
      <c r="B108" s="344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48" t="s">
        <v>724</v>
      </c>
      <c r="C111" s="881" t="s">
        <v>725</v>
      </c>
      <c r="D111" s="817" t="s">
        <v>726</v>
      </c>
      <c r="E111" s="894">
        <v>0.2</v>
      </c>
      <c r="F111" s="881">
        <v>30</v>
      </c>
    </row>
    <row r="112" spans="1:6" s="877" customFormat="1" ht="24">
      <c r="A112" s="881">
        <v>52</v>
      </c>
      <c r="B112" s="3448"/>
      <c r="C112" s="881" t="s">
        <v>727</v>
      </c>
      <c r="D112" s="817" t="s">
        <v>728</v>
      </c>
      <c r="E112" s="894">
        <v>0.2</v>
      </c>
      <c r="F112" s="881">
        <v>30</v>
      </c>
    </row>
    <row r="113" spans="1:6" s="877" customFormat="1" ht="24">
      <c r="A113" s="881">
        <v>53</v>
      </c>
      <c r="B113" s="344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48" t="s">
        <v>737</v>
      </c>
      <c r="C116" s="881" t="s">
        <v>738</v>
      </c>
      <c r="D116" s="817" t="s">
        <v>739</v>
      </c>
      <c r="E116" s="894">
        <v>0.2</v>
      </c>
      <c r="F116" s="881">
        <v>30</v>
      </c>
    </row>
    <row r="117" spans="1:6" ht="36">
      <c r="A117" s="881">
        <v>57</v>
      </c>
      <c r="B117" s="344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0" sqref="I20"/>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2985</v>
      </c>
    </row>
    <row r="2" spans="1:5" ht="15.75">
      <c r="A2" s="2909" t="s">
        <v>2977</v>
      </c>
      <c r="B2" s="2910" t="e">
        <f ca="1">SUMIF(B6:B13,"&lt;&gt;#ref!",B6:B13)</f>
        <v>#DIV/0!</v>
      </c>
      <c r="C2" s="2909" t="s">
        <v>2978</v>
      </c>
      <c r="D2" s="2909" t="s">
        <v>2979</v>
      </c>
      <c r="E2" s="2910">
        <f ca="1">SUMIF(E6:E13,"&lt;&gt;#ref!",E6:E13)</f>
        <v>0</v>
      </c>
    </row>
    <row r="3" spans="1:5" ht="15.75">
      <c r="A3" s="2909" t="s">
        <v>2980</v>
      </c>
      <c r="B3" s="2910" t="e">
        <f ca="1">ROUND(B2*10000/E2,0)</f>
        <v>#DIV/0!</v>
      </c>
      <c r="C3" s="2909" t="s">
        <v>2986</v>
      </c>
      <c r="D3" s="2911"/>
      <c r="E3" s="2911"/>
    </row>
    <row r="4" spans="1:5" ht="15.75">
      <c r="A4" s="2912"/>
      <c r="B4" s="2911"/>
      <c r="C4" s="2911"/>
      <c r="D4" s="2911"/>
      <c r="E4" s="2911"/>
    </row>
    <row r="5" spans="1:5" ht="28.5">
      <c r="A5" s="2913" t="s">
        <v>2981</v>
      </c>
      <c r="B5" s="2909" t="s">
        <v>2982</v>
      </c>
      <c r="C5" s="2910"/>
      <c r="D5" s="2911"/>
      <c r="E5" s="2909" t="s">
        <v>2983</v>
      </c>
    </row>
    <row r="6" spans="1:5" ht="15.75">
      <c r="A6" s="2914" t="s">
        <v>2984</v>
      </c>
      <c r="B6" s="2910" t="e">
        <f ca="1">SUMIF(INDIRECT("'"&amp;A6&amp;"'"&amp;"!A:A"),"总价",INDIRECT("'"&amp;A6&amp;"'"&amp;"!B:B"))</f>
        <v>#DIV/0!</v>
      </c>
      <c r="C6" s="2909" t="s">
        <v>2978</v>
      </c>
      <c r="D6" s="2911"/>
      <c r="E6" s="2574">
        <f ca="1">SUMIF(INDIRECT("'"&amp;A6&amp;"'"&amp;"!C:C"),"建筑面积",INDIRECT("'"&amp;A6&amp;"'"&amp;"!D:D"))</f>
        <v>0</v>
      </c>
    </row>
    <row r="7" spans="1:5" ht="15.75">
      <c r="A7" s="2914"/>
      <c r="B7" s="2910" t="e">
        <f ca="1">SUMIF(INDIRECT("'"&amp;A7&amp;"'"&amp;"!A:A"),"总价",INDIRECT("'"&amp;A7&amp;"'"&amp;"!B:B"))</f>
        <v>#REF!</v>
      </c>
      <c r="C7" s="2909" t="s">
        <v>2978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2978</v>
      </c>
      <c r="D8" s="2911"/>
      <c r="E8" s="2574" t="e">
        <f t="shared" ca="1" si="0"/>
        <v>#REF!</v>
      </c>
    </row>
    <row r="9" spans="1:5" ht="15.75">
      <c r="A9" s="2914"/>
      <c r="B9" s="2910" t="e">
        <f t="shared" ca="1" si="1"/>
        <v>#REF!</v>
      </c>
      <c r="C9" s="2909" t="s">
        <v>2978</v>
      </c>
      <c r="D9" s="2911"/>
      <c r="E9" s="2574" t="e">
        <f t="shared" ca="1" si="0"/>
        <v>#REF!</v>
      </c>
    </row>
    <row r="10" spans="1:5" ht="15.75">
      <c r="A10" s="2914"/>
      <c r="B10" s="2910" t="e">
        <f t="shared" ca="1" si="1"/>
        <v>#REF!</v>
      </c>
      <c r="C10" s="2909" t="s">
        <v>2978</v>
      </c>
      <c r="D10" s="2911"/>
      <c r="E10" s="2574" t="e">
        <f t="shared" ca="1" si="0"/>
        <v>#REF!</v>
      </c>
    </row>
    <row r="11" spans="1:5" ht="15.75">
      <c r="A11" s="2914"/>
      <c r="B11" s="2910" t="e">
        <f t="shared" ca="1" si="1"/>
        <v>#REF!</v>
      </c>
      <c r="C11" s="2909" t="s">
        <v>2978</v>
      </c>
      <c r="D11" s="2911"/>
      <c r="E11" s="2574" t="e">
        <f t="shared" ca="1" si="0"/>
        <v>#REF!</v>
      </c>
    </row>
    <row r="12" spans="1:5" ht="15.75">
      <c r="A12" s="2914"/>
      <c r="B12" s="2910" t="e">
        <f t="shared" ca="1" si="1"/>
        <v>#REF!</v>
      </c>
      <c r="C12" s="2909" t="s">
        <v>2978</v>
      </c>
      <c r="D12" s="2911"/>
      <c r="E12" s="2574" t="e">
        <f t="shared" ca="1" si="0"/>
        <v>#REF!</v>
      </c>
    </row>
    <row r="13" spans="1:5" ht="15.75">
      <c r="A13" s="2914"/>
      <c r="B13" s="2910" t="e">
        <f t="shared" ca="1" si="1"/>
        <v>#REF!</v>
      </c>
      <c r="C13" s="2909" t="s">
        <v>2978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20" sqref="I2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54" t="s">
        <v>1146</v>
      </c>
      <c r="C1" s="3454"/>
      <c r="D1" s="3454"/>
      <c r="E1" s="3454"/>
      <c r="F1" s="3454"/>
      <c r="G1" s="3453" t="s">
        <v>1147</v>
      </c>
      <c r="H1" s="3453"/>
      <c r="I1" s="3453"/>
      <c r="J1" s="3453"/>
      <c r="K1" s="3453"/>
      <c r="L1" s="3453"/>
      <c r="N1" s="3453" t="s">
        <v>1148</v>
      </c>
      <c r="O1" s="3453"/>
      <c r="P1" s="3453"/>
      <c r="Q1" s="3453"/>
      <c r="R1" s="1448"/>
      <c r="S1" s="3453" t="s">
        <v>1149</v>
      </c>
      <c r="T1" s="3453"/>
      <c r="U1" s="3453"/>
      <c r="V1" s="3453"/>
      <c r="X1" s="3452" t="s">
        <v>1150</v>
      </c>
      <c r="Y1" s="3453"/>
      <c r="Z1" s="3453"/>
      <c r="AA1" s="3453"/>
      <c r="AB1" s="3453"/>
      <c r="AD1" s="3452" t="s">
        <v>1151</v>
      </c>
      <c r="AE1" s="3453"/>
      <c r="AF1" s="3453"/>
      <c r="AG1" s="3453"/>
      <c r="AH1" s="3453"/>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3020</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3027</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9">
        <f>I5/100</f>
        <v>0</v>
      </c>
      <c r="O5" s="1469">
        <f t="shared" ref="O5" si="7">J5/100</f>
        <v>0</v>
      </c>
      <c r="P5" s="1469">
        <f t="shared" ref="P5" si="8">K5/100</f>
        <v>0</v>
      </c>
      <c r="Q5" s="1469">
        <f t="shared" ref="Q5" si="9">L5/100</f>
        <v>0</v>
      </c>
      <c r="R5" s="1733"/>
      <c r="S5" s="1734"/>
      <c r="T5" s="1733"/>
      <c r="U5" s="1733"/>
      <c r="V5" s="1733"/>
      <c r="W5" s="2927" t="s">
        <v>3021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3028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8"/>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3026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8"/>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3019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8"/>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3016</v>
      </c>
      <c r="B9" s="1471">
        <v>439</v>
      </c>
      <c r="C9" s="1471">
        <v>327</v>
      </c>
      <c r="D9" s="1471">
        <f>C9</f>
        <v>327</v>
      </c>
      <c r="E9" s="1471">
        <v>627</v>
      </c>
      <c r="F9" s="1472">
        <v>283</v>
      </c>
      <c r="G9" s="2925">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3017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1"/>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0"/>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1"/>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45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45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45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45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44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45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45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45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44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45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45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45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45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45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45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45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44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45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45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45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44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45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45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45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44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45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45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45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44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45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45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45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44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45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45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45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44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45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45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45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44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45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45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45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44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45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45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45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44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45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45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45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449">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450">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450">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451">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449">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450">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450">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45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0" sqref="I20"/>
      <selection pane="bottomLeft" activeCell="I20" sqref="I2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2987</v>
      </c>
      <c r="C1" s="3460" t="s">
        <v>2988</v>
      </c>
      <c r="D1" s="3461"/>
      <c r="E1" s="3461"/>
      <c r="F1" s="3461"/>
      <c r="G1" s="3461"/>
      <c r="H1" s="3461"/>
      <c r="I1" s="3461"/>
      <c r="J1" s="3461"/>
      <c r="K1" s="3461"/>
      <c r="L1" s="3461"/>
      <c r="M1" s="3461"/>
      <c r="N1" s="3461"/>
      <c r="O1" s="3461"/>
      <c r="P1" s="3461"/>
      <c r="Q1" s="3461"/>
      <c r="R1" s="3461"/>
      <c r="S1" s="3462"/>
      <c r="T1" s="1206" t="s">
        <v>2989</v>
      </c>
    </row>
    <row r="2" spans="1:45" s="706" customFormat="1">
      <c r="A2" s="1207"/>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2991</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2992</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2993</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2994</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2995</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2996</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2997</v>
      </c>
      <c r="B17" s="2916" t="s">
        <v>2998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2999</v>
      </c>
      <c r="E19" s="1793"/>
      <c r="F19" s="1793"/>
      <c r="G19" s="1793"/>
      <c r="H19" s="1282"/>
      <c r="I19" s="167"/>
      <c r="J19" s="167"/>
      <c r="K19" s="167"/>
      <c r="L19" s="167"/>
      <c r="M19" s="167"/>
      <c r="N19" s="167"/>
      <c r="O19" s="167"/>
      <c r="P19" s="167"/>
      <c r="Q19" s="167"/>
      <c r="R19" s="787"/>
      <c r="S19" s="137"/>
    </row>
    <row r="20" spans="1:45" ht="16.5" thickBot="1">
      <c r="A20" s="714" t="s">
        <v>3000</v>
      </c>
      <c r="B20" s="337" t="e">
        <f ca="1">IF(D20="——",S22,S22-F20)</f>
        <v>#REF!</v>
      </c>
      <c r="C20" s="167"/>
      <c r="D20" s="2918" t="s">
        <v>3001</v>
      </c>
      <c r="E20" s="1794"/>
      <c r="F20" s="1206" t="e">
        <f ca="1">SUMIF(INDIRECT("'"&amp;H20&amp;"'"&amp;"!A:A"),"承租人权益价值",INDIRECT("'"&amp;H20&amp;"'"&amp;"!c:c"))</f>
        <v>#REF!</v>
      </c>
      <c r="G20" s="1206" t="s">
        <v>3002</v>
      </c>
      <c r="H20" s="2919"/>
      <c r="I20" s="167"/>
      <c r="J20" s="167"/>
      <c r="K20" s="167"/>
      <c r="L20" s="167"/>
      <c r="M20" s="167"/>
      <c r="N20" s="167"/>
      <c r="O20" s="167"/>
      <c r="P20" s="167"/>
      <c r="Q20" s="167"/>
      <c r="R20" s="787"/>
      <c r="S20" s="137"/>
    </row>
    <row r="21" spans="1:45" ht="15.75">
      <c r="A21" s="714" t="s">
        <v>3003</v>
      </c>
      <c r="B21" s="337">
        <f>R22</f>
        <v>10000</v>
      </c>
      <c r="C21" s="167"/>
      <c r="D21" s="167"/>
      <c r="E21" s="167"/>
      <c r="F21" s="167"/>
      <c r="G21" s="167"/>
      <c r="H21" s="167"/>
      <c r="I21" s="167"/>
      <c r="J21" s="167"/>
      <c r="K21" s="167"/>
      <c r="L21" s="167"/>
      <c r="M21" s="167"/>
      <c r="N21" s="167"/>
      <c r="O21" s="167"/>
      <c r="P21" s="167"/>
      <c r="Q21" s="167"/>
      <c r="R21" s="787"/>
      <c r="S21" s="137"/>
    </row>
    <row r="22" spans="1:45">
      <c r="A22" s="360" t="s">
        <v>3004</v>
      </c>
      <c r="B22" s="24">
        <f>SUM(B24:B10000)</f>
        <v>100</v>
      </c>
      <c r="C22" s="3319" t="s">
        <v>33</v>
      </c>
      <c r="D22" s="3320"/>
      <c r="E22" s="3320"/>
      <c r="F22" s="3320"/>
      <c r="G22" s="3320"/>
      <c r="H22" s="3320"/>
      <c r="I22" s="3320"/>
      <c r="J22" s="3320"/>
      <c r="K22" s="3320"/>
      <c r="L22" s="3320"/>
      <c r="M22" s="3320"/>
      <c r="N22" s="3320"/>
      <c r="O22" s="3320"/>
      <c r="P22" s="3320"/>
      <c r="Q22" s="3459"/>
      <c r="R22" s="715">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42929</v>
      </c>
      <c r="C2" s="2" t="s">
        <v>133</v>
      </c>
      <c r="D2" s="242"/>
      <c r="E2" s="242"/>
      <c r="F2" s="242"/>
      <c r="G2" s="242"/>
    </row>
    <row r="3" spans="1:7" s="243" customFormat="1" ht="18" customHeight="1" thickBot="1">
      <c r="A3" s="246" t="s">
        <v>85</v>
      </c>
      <c r="B3" s="247">
        <f ca="1">ROUND(B2*10000/'数据-汇总表'!E3,0)</f>
        <v>1959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86551.15</v>
      </c>
      <c r="E9" s="268">
        <f>'数据-取费表'!B27</f>
        <v>0</v>
      </c>
      <c r="F9" s="264"/>
      <c r="G9" s="269"/>
    </row>
    <row r="10" spans="1:7" s="257" customFormat="1" ht="13.5" customHeight="1">
      <c r="A10" s="952" t="s">
        <v>801</v>
      </c>
      <c r="B10" s="267" t="s">
        <v>94</v>
      </c>
      <c r="C10" s="268">
        <f>ROUND(D10*E10/10000,0)</f>
        <v>0</v>
      </c>
      <c r="D10" s="1034">
        <f>'数据-汇总表'!E6</f>
        <v>132610.23000000001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2192</v>
      </c>
      <c r="D19" s="1038">
        <f>'数据-汇总表'!E3</f>
        <v>219161.38</v>
      </c>
      <c r="E19" s="254">
        <f>'数据-取费表'!B31</f>
        <v>100</v>
      </c>
      <c r="F19" s="274"/>
      <c r="G19" s="1" t="s">
        <v>1071</v>
      </c>
    </row>
    <row r="20" spans="1:7" s="257" customFormat="1" ht="13.5" customHeight="1">
      <c r="A20" s="950" t="s">
        <v>1054</v>
      </c>
      <c r="B20" s="253" t="s">
        <v>104</v>
      </c>
      <c r="C20" s="275">
        <f>ROUND((C5+C19)*F20,0)</f>
        <v>456</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431</v>
      </c>
      <c r="D22" s="278">
        <f ca="1">C26</f>
        <v>2.0000000000000001E-4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386</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41</v>
      </c>
      <c r="D24" s="281"/>
      <c r="E24" s="281"/>
      <c r="F24" s="282"/>
      <c r="G24" s="283" t="s">
        <v>109</v>
      </c>
    </row>
    <row r="25" spans="1:7" s="257" customFormat="1" ht="24">
      <c r="A25" s="953" t="s">
        <v>793</v>
      </c>
      <c r="B25" s="258" t="s">
        <v>1055</v>
      </c>
      <c r="C25" s="1357">
        <f ca="1">ROUND(IF('数据-取费表'!B22&lt;=1,C20*F22*'数据-取费表'!B23/2,C20*(POWER((1+F22),'数据-取费表'!B23/2)-1)),0)</f>
        <v>4</v>
      </c>
      <c r="D25" s="281"/>
      <c r="E25" s="284"/>
      <c r="F25" s="282"/>
      <c r="G25" s="285" t="s">
        <v>110</v>
      </c>
    </row>
    <row r="26" spans="1:7" s="257" customFormat="1">
      <c r="A26" s="953" t="s">
        <v>795</v>
      </c>
      <c r="B26" s="258" t="s">
        <v>1057</v>
      </c>
      <c r="C26" s="281">
        <f ca="1">ROUND(IF('数据-取费表'!B22&lt;=1,F21*F22*'数据-取费表'!B23/2,F21*(POWER((1+F22),'数据-取费表'!B23/2)-1)),4)</f>
        <v>2.0000000000000001E-4</v>
      </c>
      <c r="D26" s="281"/>
      <c r="E26" s="284"/>
      <c r="F26" s="282"/>
      <c r="G26" s="286"/>
    </row>
    <row r="27" spans="1:7" s="257" customFormat="1" ht="24.75">
      <c r="A27" s="950" t="s">
        <v>787</v>
      </c>
      <c r="B27" s="287" t="s">
        <v>112</v>
      </c>
      <c r="C27" s="288">
        <f>C28</f>
        <v>372</v>
      </c>
      <c r="D27" s="278">
        <f>C29</f>
        <v>2.9999999999999997E-4</v>
      </c>
      <c r="E27" s="279" t="s">
        <v>126</v>
      </c>
      <c r="F27" s="289">
        <f>'数据-取费表'!Q16</f>
        <v>0.08</v>
      </c>
      <c r="G27" s="290" t="s">
        <v>1066</v>
      </c>
    </row>
    <row r="28" spans="1:7" s="257" customFormat="1" ht="13.5" customHeight="1">
      <c r="A28" s="953" t="s">
        <v>794</v>
      </c>
      <c r="B28" s="291" t="s">
        <v>1059</v>
      </c>
      <c r="C28" s="292">
        <f>ROUND((C5+C19+C20)*F27*'数据-取费表'!B21/'数据-取费表'!B20,0)</f>
        <v>372</v>
      </c>
      <c r="D28" s="278"/>
      <c r="E28" s="279"/>
      <c r="F28" s="289"/>
      <c r="G28" s="290"/>
    </row>
    <row r="29" spans="1:7" s="257" customFormat="1" ht="13.5" customHeight="1">
      <c r="A29" s="953" t="s">
        <v>792</v>
      </c>
      <c r="B29" s="291" t="s">
        <v>1060</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25952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14146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12551</v>
      </c>
      <c r="D34" s="260"/>
      <c r="E34" s="263"/>
      <c r="F34" s="300">
        <f>IF('数据-取费表'!B24=0,1,'数据-取费表'!N16)</f>
        <v>0.19</v>
      </c>
      <c r="G34" s="262" t="s">
        <v>116</v>
      </c>
    </row>
    <row r="35" spans="1:7" ht="13.5" customHeight="1">
      <c r="A35" s="953" t="s">
        <v>796</v>
      </c>
      <c r="B35" s="258" t="s">
        <v>60</v>
      </c>
      <c r="C35" s="263">
        <f>ROUND(C34*F35,0)</f>
        <v>377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197</v>
      </c>
      <c r="D36" s="263"/>
      <c r="E36" s="263"/>
      <c r="F36" s="302">
        <f>'数据-取费表'!B34</f>
        <v>0.03</v>
      </c>
      <c r="G36" s="303" t="s">
        <v>62</v>
      </c>
    </row>
    <row r="37" spans="1:7" s="301" customFormat="1" ht="13.5" customHeight="1">
      <c r="A37" s="953" t="s">
        <v>798</v>
      </c>
      <c r="B37" s="258" t="s">
        <v>118</v>
      </c>
      <c r="C37" s="292">
        <f>ROUND(E37*D37*F34/10000,0)</f>
        <v>833</v>
      </c>
      <c r="D37" s="260">
        <f>'数据-汇总表'!E3</f>
        <v>219161.38</v>
      </c>
      <c r="E37" s="292">
        <f>'数据-取费表'!B35</f>
        <v>200</v>
      </c>
      <c r="F37" s="302"/>
      <c r="G37" s="304" t="s">
        <v>119</v>
      </c>
    </row>
    <row r="38" spans="1:7" ht="13.5" customHeight="1">
      <c r="A38" s="953" t="s">
        <v>799</v>
      </c>
      <c r="B38" s="258" t="s">
        <v>63</v>
      </c>
      <c r="C38" s="263">
        <f>ROUND(C34*F38,0)</f>
        <v>188</v>
      </c>
      <c r="D38" s="263"/>
      <c r="E38" s="263"/>
      <c r="F38" s="302">
        <f>'数据-取费表'!B36</f>
        <v>1.4999999999999999E-2</v>
      </c>
      <c r="G38" s="262" t="s">
        <v>117</v>
      </c>
    </row>
    <row r="39" spans="1:7" s="257" customFormat="1" ht="13.5" customHeight="1">
      <c r="A39" s="950" t="s">
        <v>783</v>
      </c>
      <c r="B39" s="253" t="s">
        <v>104</v>
      </c>
      <c r="C39" s="275">
        <f>ROUND(C33*F20,0)</f>
        <v>283</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135</v>
      </c>
      <c r="D41" s="278">
        <f ca="1">C44</f>
        <v>2.0000000000000001E-4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132</v>
      </c>
      <c r="D42" s="281"/>
      <c r="E42" s="281"/>
      <c r="F42" s="282"/>
      <c r="G42" s="3324" t="s">
        <v>121</v>
      </c>
    </row>
    <row r="43" spans="1:7" ht="13.5" customHeight="1">
      <c r="A43" s="953" t="s">
        <v>792</v>
      </c>
      <c r="B43" s="258" t="s">
        <v>1061</v>
      </c>
      <c r="C43" s="281">
        <f ca="1">ROUND(IF('数据-取费表'!B22&lt;=1,C39*F22*'数据-取费表'!B21/2,C39*(POWER((1+F22),'数据-取费表'!B21/2)-1)),0)</f>
        <v>3</v>
      </c>
      <c r="D43" s="281"/>
      <c r="E43" s="281"/>
      <c r="F43" s="282"/>
      <c r="G43" s="3325"/>
    </row>
    <row r="44" spans="1:7" ht="13.5" customHeight="1">
      <c r="A44" s="953" t="s">
        <v>793</v>
      </c>
      <c r="B44" s="258" t="s">
        <v>1063</v>
      </c>
      <c r="C44" s="281">
        <f ca="1">ROUND(IF('数据-取费表'!B22&lt;=1,C40*F22*'数据-取费表'!B21/2,C40*(POWER((1+F22),'数据-取费表'!B21/2)-1)),4)</f>
        <v>2.0000000000000001E-4</v>
      </c>
      <c r="D44" s="281"/>
      <c r="E44" s="281"/>
      <c r="F44" s="282"/>
      <c r="G44" s="3326"/>
    </row>
    <row r="45" spans="1:7" s="257" customFormat="1" ht="13.5" customHeight="1">
      <c r="A45" s="950" t="s">
        <v>786</v>
      </c>
      <c r="B45" s="287" t="s">
        <v>112</v>
      </c>
      <c r="C45" s="288">
        <f>C46</f>
        <v>1154</v>
      </c>
      <c r="D45" s="278">
        <f>C47</f>
        <v>1.6000000000000001E-3</v>
      </c>
      <c r="E45" s="279" t="s">
        <v>129</v>
      </c>
      <c r="F45" s="289"/>
      <c r="G45" s="290" t="s">
        <v>1069</v>
      </c>
    </row>
    <row r="46" spans="1:7" s="257" customFormat="1" ht="13.5" customHeight="1">
      <c r="A46" s="953" t="s">
        <v>794</v>
      </c>
      <c r="B46" s="291" t="s">
        <v>1062</v>
      </c>
      <c r="C46" s="292">
        <f>ROUND((C33+C39)*F27,0)</f>
        <v>1154</v>
      </c>
      <c r="D46" s="306"/>
      <c r="E46" s="279"/>
      <c r="F46" s="289"/>
      <c r="G46" s="290"/>
    </row>
    <row r="47" spans="1:7" s="257" customFormat="1" ht="13.5" customHeight="1">
      <c r="A47" s="953" t="s">
        <v>792</v>
      </c>
      <c r="B47" s="291" t="s">
        <v>1064</v>
      </c>
      <c r="C47" s="281">
        <f>ROUND(C40*F27,4)</f>
        <v>1.6000000000000001E-3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16977</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16977</v>
      </c>
      <c r="D51" s="275"/>
      <c r="E51" s="275"/>
      <c r="F51" s="307"/>
      <c r="G51" s="277" t="s">
        <v>64</v>
      </c>
    </row>
    <row r="52" spans="1:7" s="251" customFormat="1" ht="16.5" thickBot="1">
      <c r="A52" s="308" t="s">
        <v>65</v>
      </c>
      <c r="B52" s="309"/>
      <c r="C52" s="310">
        <f ca="1">C31+C51</f>
        <v>42929</v>
      </c>
      <c r="D52" s="309"/>
      <c r="E52" s="309"/>
      <c r="F52" s="309"/>
      <c r="G52" s="311"/>
    </row>
    <row r="55" spans="1:7" ht="15">
      <c r="B55" s="313" t="s">
        <v>66</v>
      </c>
      <c r="C55" s="314"/>
    </row>
    <row r="56" spans="1:7">
      <c r="B56" s="316" t="s">
        <v>67</v>
      </c>
      <c r="C56" s="317">
        <f ca="1">ROUND(C51/C52,3)</f>
        <v>0.39500000000000002</v>
      </c>
    </row>
    <row r="57" spans="1:7">
      <c r="B57" s="316" t="s">
        <v>68</v>
      </c>
      <c r="C57" s="318">
        <f ca="1">1-C56</f>
        <v>0.60499999999999998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1637</v>
      </c>
      <c r="B2" s="3105" t="s">
        <v>1638</v>
      </c>
      <c r="C2" s="3105" t="s">
        <v>1639</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099"/>
      <c r="B3" s="3099"/>
      <c r="C3" s="3099"/>
      <c r="D3" s="1046" t="s">
        <v>1634</v>
      </c>
      <c r="E3" s="1046" t="s">
        <v>1640</v>
      </c>
      <c r="F3" s="1046" t="s">
        <v>1634</v>
      </c>
      <c r="G3" s="1046" t="s">
        <v>1635</v>
      </c>
      <c r="H3" s="1046" t="s">
        <v>1634</v>
      </c>
      <c r="I3" s="1046" t="s">
        <v>1635</v>
      </c>
    </row>
    <row r="4" spans="1:9" ht="45">
      <c r="A4" s="1974" t="str">
        <f>项目基本情况!S2</f>
        <v>北京市顺义区高丽营镇于庄03-31地块出让国有建设用地使用权及在建建筑物房地产</v>
      </c>
      <c r="B4" s="1046">
        <f>项目基本情况!C17</f>
        <v>219161.38</v>
      </c>
      <c r="C4" s="1046">
        <f>项目基本情况!C18</f>
        <v>82881.19</v>
      </c>
      <c r="D4" s="1046">
        <f ca="1">结果表!D118</f>
        <v>462042</v>
      </c>
      <c r="E4" s="1046">
        <f ca="1">结果表!E118</f>
        <v>21083</v>
      </c>
      <c r="F4" s="1046">
        <f ca="1">结果表!F118</f>
        <v>17255</v>
      </c>
      <c r="G4" s="1046">
        <f ca="1">结果表!G118</f>
        <v>787</v>
      </c>
      <c r="H4" s="1046">
        <f ca="1">结果表!H118</f>
        <v>479297</v>
      </c>
      <c r="I4" s="1046">
        <f ca="1">结果表!I118</f>
        <v>21870</v>
      </c>
    </row>
    <row r="5" spans="1:9" ht="30" customHeight="1">
      <c r="A5" s="3099" t="s">
        <v>1636</v>
      </c>
      <c r="B5" s="3099"/>
      <c r="C5" s="3099"/>
      <c r="D5" s="3100" t="str">
        <f ca="1">结果表!D119</f>
        <v>肆拾陆亿贰仟零肆拾贰万元整</v>
      </c>
      <c r="E5" s="3100"/>
      <c r="F5" s="3100" t="str">
        <f ca="1">结果表!F119</f>
        <v>壹亿柒仟贰佰伍拾伍万元整</v>
      </c>
      <c r="G5" s="3100"/>
      <c r="H5" s="3100" t="str">
        <f ca="1">结果表!H119</f>
        <v>肆拾柒亿玖仟贰佰玖拾柒万元整</v>
      </c>
      <c r="I5" s="3100"/>
    </row>
    <row r="6" spans="1:9" ht="15.75">
      <c r="A6" s="3098" t="str">
        <f>结果表!A120</f>
        <v>估价师知悉的法定优先受偿款</v>
      </c>
      <c r="B6" s="3098"/>
      <c r="C6" s="3098"/>
      <c r="D6" s="3098">
        <f>结果表!D120</f>
        <v>0</v>
      </c>
      <c r="E6" s="3098"/>
      <c r="F6" s="3098"/>
      <c r="G6" s="3098"/>
      <c r="H6" s="3098"/>
      <c r="I6" s="3098"/>
    </row>
    <row r="7" spans="1:9" ht="15">
      <c r="A7" s="3099" t="s">
        <v>1636</v>
      </c>
      <c r="B7" s="3099"/>
      <c r="C7" s="3099"/>
      <c r="D7" s="3101" t="str">
        <f>结果表!D121</f>
        <v>零元整</v>
      </c>
      <c r="E7" s="3102"/>
      <c r="F7" s="3102"/>
      <c r="G7" s="3102"/>
      <c r="H7" s="3102"/>
      <c r="I7" s="3103"/>
    </row>
    <row r="8" spans="1:9" ht="15.75">
      <c r="A8" s="3098" t="str">
        <f>结果表!A122</f>
        <v>房地产抵押价值</v>
      </c>
      <c r="B8" s="3098"/>
      <c r="C8" s="3098"/>
      <c r="D8" s="3098">
        <f ca="1">结果表!D122</f>
        <v>479297</v>
      </c>
      <c r="E8" s="3098"/>
      <c r="F8" s="3098"/>
      <c r="G8" s="3098"/>
      <c r="H8" s="3098"/>
      <c r="I8" s="3098"/>
    </row>
    <row r="9" spans="1:9" ht="15">
      <c r="A9" s="3099" t="s">
        <v>1636</v>
      </c>
      <c r="B9" s="3099"/>
      <c r="C9" s="3099"/>
      <c r="D9" s="3100" t="str">
        <f ca="1">结果表!D123</f>
        <v>肆拾柒亿玖仟贰佰玖拾柒万元整</v>
      </c>
      <c r="E9" s="3100"/>
      <c r="F9" s="3100"/>
      <c r="G9" s="3100"/>
      <c r="H9" s="3100"/>
      <c r="I9" s="3100"/>
    </row>
    <row r="10" spans="1:9" ht="15.75">
      <c r="A10" s="3098" t="str">
        <f>结果表!A124</f>
        <v/>
      </c>
      <c r="B10" s="3098"/>
      <c r="C10" s="3098"/>
      <c r="D10" s="3098" t="str">
        <f>结果表!D124</f>
        <v>——</v>
      </c>
      <c r="E10" s="3098"/>
      <c r="F10" s="3098"/>
      <c r="G10" s="3098"/>
      <c r="H10" s="3098"/>
      <c r="I10" s="3098"/>
    </row>
    <row r="11" spans="1:9" ht="15">
      <c r="A11" s="3099" t="s">
        <v>1636</v>
      </c>
      <c r="B11" s="3099"/>
      <c r="C11" s="3099"/>
      <c r="D11" s="3100" t="e">
        <f>结果表!D125</f>
        <v>#VALUE!</v>
      </c>
      <c r="E11" s="3100"/>
      <c r="F11" s="3100"/>
      <c r="G11" s="3100"/>
      <c r="H11" s="3100"/>
      <c r="I11" s="3100"/>
    </row>
    <row r="12" spans="1:9" ht="15.75">
      <c r="A12" s="3098" t="str">
        <f>结果表!A126</f>
        <v/>
      </c>
      <c r="B12" s="3098"/>
      <c r="C12" s="3098"/>
      <c r="D12" s="3098" t="str">
        <f>结果表!D126</f>
        <v>——</v>
      </c>
      <c r="E12" s="3098"/>
      <c r="F12" s="3098"/>
      <c r="G12" s="3098"/>
      <c r="H12" s="3098"/>
      <c r="I12" s="3098"/>
    </row>
    <row r="13" spans="1:9" ht="15.75" thickBot="1">
      <c r="A13" s="3095" t="s">
        <v>1636</v>
      </c>
      <c r="B13" s="3095"/>
      <c r="C13" s="3095"/>
      <c r="D13" s="3096" t="e">
        <f>结果表!D127</f>
        <v>#VALUE!</v>
      </c>
      <c r="E13" s="3096"/>
      <c r="F13" s="3096"/>
      <c r="G13" s="3096"/>
      <c r="H13" s="3096"/>
      <c r="I13" s="3096"/>
    </row>
    <row r="14" spans="1:9" ht="15" thickTop="1">
      <c r="A14" s="3097" t="s">
        <v>1641</v>
      </c>
      <c r="B14" s="3097"/>
      <c r="C14" s="3097"/>
      <c r="D14" s="3097"/>
      <c r="E14" s="3097"/>
      <c r="F14" s="3097"/>
      <c r="G14" s="3097"/>
      <c r="H14" s="3097"/>
      <c r="I14" s="309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63" t="s">
        <v>156</v>
      </c>
      <c r="B1" s="3463"/>
      <c r="C1" s="3463"/>
      <c r="D1" s="3463"/>
      <c r="E1" s="3463"/>
      <c r="F1" s="346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64" t="s">
        <v>169</v>
      </c>
      <c r="B2" s="3464"/>
      <c r="C2" s="3464"/>
      <c r="D2" s="3464"/>
      <c r="E2" s="3464"/>
      <c r="F2" s="346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6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6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63" t="s">
        <v>868</v>
      </c>
      <c r="B1" s="346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43444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12" t="s">
        <v>1658</v>
      </c>
      <c r="B1" s="3112"/>
      <c r="C1" s="3112"/>
      <c r="D1" s="3112"/>
    </row>
    <row r="2" spans="1:4" ht="18">
      <c r="A2" s="3113" t="s">
        <v>1642</v>
      </c>
      <c r="B2" s="3113"/>
      <c r="C2" s="3113"/>
      <c r="D2" s="3113"/>
    </row>
    <row r="3" spans="1:4" ht="18.75">
      <c r="A3" s="1978" t="s">
        <v>1643</v>
      </c>
      <c r="B3" s="1978" t="s">
        <v>1644</v>
      </c>
      <c r="C3" s="1978" t="s">
        <v>1645</v>
      </c>
      <c r="D3" s="1978" t="s">
        <v>1646</v>
      </c>
    </row>
    <row r="4" spans="1:4" ht="56.25" customHeight="1">
      <c r="A4" s="1979" t="str">
        <f>项目基本情况!B4</f>
        <v>郑燚</v>
      </c>
      <c r="B4" s="1980">
        <f ca="1">项目基本情况!C4</f>
        <v>1120070131</v>
      </c>
      <c r="C4" s="1981"/>
      <c r="D4" s="1982" t="s">
        <v>1647</v>
      </c>
    </row>
    <row r="5" spans="1:4" ht="56.25" customHeight="1">
      <c r="A5" s="1979" t="str">
        <f>项目基本情况!D4</f>
        <v>吴薇</v>
      </c>
      <c r="B5" s="1980">
        <f ca="1">项目基本情况!E4</f>
        <v>1419970001</v>
      </c>
      <c r="C5" s="1983"/>
      <c r="D5" s="1982" t="s">
        <v>1647</v>
      </c>
    </row>
    <row r="6" spans="1:4" ht="18">
      <c r="A6" s="3113" t="s">
        <v>1648</v>
      </c>
      <c r="B6" s="3113"/>
      <c r="C6" s="3113"/>
      <c r="D6" s="3113"/>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114" t="s">
        <v>1651</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06" t="str">
        <f>IF(项目基本情况!B8="抵押","4.本次评估估价师所知悉的法定优先受偿款情况说明如下：","——")</f>
        <v>4.本次评估估价师所知悉的法定优先受偿款情况说明如下：</v>
      </c>
      <c r="B14" s="3111"/>
      <c r="C14" s="3111"/>
      <c r="D14" s="3111"/>
    </row>
    <row r="15" spans="1:4" ht="42" customHeight="1">
      <c r="A15" s="3106" t="str">
        <f>IF(项目基本情况!B8="抵押","（1）"&amp;CONCATENATE(项目基本情况!L20,项目基本情况!L21,项目基本情况!L22),"——")</f>
        <v>（1）根据估价对象《不动产权证书》原件，截至价值时点，估价对象抵押权未见登记。</v>
      </c>
      <c r="B15" s="3106"/>
      <c r="C15" s="3106"/>
      <c r="D15" s="3106"/>
    </row>
    <row r="16" spans="1:4" ht="30" customHeight="1">
      <c r="A16" s="3108" t="s">
        <v>1652</v>
      </c>
      <c r="B16" s="3108"/>
      <c r="C16" s="3108"/>
      <c r="D16" s="3108"/>
    </row>
    <row r="17" spans="1:4" ht="144" customHeight="1">
      <c r="A17" s="3108" t="s">
        <v>1653</v>
      </c>
      <c r="B17" s="3108"/>
      <c r="C17" s="3108"/>
      <c r="D17" s="3108"/>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9"/>
      <c r="C21" s="3109"/>
      <c r="D21" s="3109"/>
    </row>
    <row r="22" spans="1:4" ht="18.75" customHeight="1">
      <c r="A22" s="3110" t="s">
        <v>1654</v>
      </c>
      <c r="B22" s="3110"/>
      <c r="C22" s="3110"/>
      <c r="D22" s="3110"/>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107">
        <v>42551</v>
      </c>
      <c r="D31" s="31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X37" sqref="X37"/>
      <selection pane="bottomLeft" activeCell="X37" sqref="X37"/>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120" t="s">
        <v>1665</v>
      </c>
      <c r="B15" s="3115" t="s">
        <v>136</v>
      </c>
      <c r="C15" s="3116"/>
    </row>
    <row r="16" spans="1:7" ht="13.5">
      <c r="A16" s="3121"/>
      <c r="B16" s="3115" t="s">
        <v>69</v>
      </c>
      <c r="C16" s="3116"/>
    </row>
    <row r="17" spans="1:3" ht="13.5">
      <c r="A17" s="3121"/>
      <c r="B17" s="3118" t="s">
        <v>1666</v>
      </c>
      <c r="C17" s="2001" t="s">
        <v>1665</v>
      </c>
    </row>
    <row r="18" spans="1:3" ht="13.5">
      <c r="A18" s="3121"/>
      <c r="B18" s="3118"/>
      <c r="C18" s="2001" t="s">
        <v>1667</v>
      </c>
    </row>
    <row r="19" spans="1:3" ht="13.5">
      <c r="A19" s="3121"/>
      <c r="B19" s="3118"/>
      <c r="C19" s="2001" t="s">
        <v>1668</v>
      </c>
    </row>
    <row r="20" spans="1:3" ht="13.5">
      <c r="A20" s="3122"/>
      <c r="B20" s="3117" t="s">
        <v>1669</v>
      </c>
      <c r="C20" s="3116"/>
    </row>
    <row r="21" spans="1:3" ht="13.5">
      <c r="A21" s="2002" t="s">
        <v>1670</v>
      </c>
      <c r="B21" s="2003"/>
      <c r="C21" s="2004"/>
    </row>
    <row r="22" spans="1:3" ht="13.5">
      <c r="A22" s="3119" t="s">
        <v>1671</v>
      </c>
      <c r="B22" s="3117" t="s">
        <v>1672</v>
      </c>
      <c r="C22" s="3116"/>
    </row>
    <row r="23" spans="1:3" ht="13.5">
      <c r="A23" s="3119"/>
      <c r="B23" s="3117" t="s">
        <v>1673</v>
      </c>
      <c r="C23" s="3116"/>
    </row>
    <row r="24" spans="1:3" ht="13.5">
      <c r="A24" s="3119"/>
      <c r="B24" s="3117" t="s">
        <v>1674</v>
      </c>
      <c r="C24" s="3116"/>
    </row>
    <row r="25" spans="1:3" ht="13.5">
      <c r="A25" s="3119"/>
      <c r="B25" s="3118" t="s">
        <v>1675</v>
      </c>
      <c r="C25" s="2001" t="s">
        <v>1676</v>
      </c>
    </row>
    <row r="26" spans="1:3" ht="13.5">
      <c r="A26" s="3119"/>
      <c r="B26" s="3118"/>
      <c r="C26" s="2001" t="s">
        <v>1677</v>
      </c>
    </row>
    <row r="27" spans="1:3" ht="13.5">
      <c r="A27" s="3119"/>
      <c r="B27" s="3118"/>
      <c r="C27" s="2001" t="s">
        <v>1678</v>
      </c>
    </row>
    <row r="28" spans="1:3" ht="13.5">
      <c r="A28" s="3119"/>
      <c r="B28" s="3118"/>
      <c r="C28" s="2001" t="s">
        <v>1679</v>
      </c>
    </row>
    <row r="29" spans="1:3" ht="13.5">
      <c r="A29" s="3119"/>
      <c r="B29" s="3118"/>
      <c r="C29" s="2001" t="s">
        <v>1680</v>
      </c>
    </row>
    <row r="30" spans="1:3" ht="13.5">
      <c r="A30" s="3119"/>
      <c r="B30" s="3118"/>
      <c r="C30" s="2001" t="s">
        <v>1681</v>
      </c>
    </row>
    <row r="31" spans="1:3" ht="13.5">
      <c r="A31" s="3119"/>
      <c r="B31" s="3118"/>
      <c r="C31" s="2001" t="s">
        <v>1682</v>
      </c>
    </row>
    <row r="32" spans="1:3" ht="13.5">
      <c r="A32" s="3119"/>
      <c r="B32" s="3118"/>
      <c r="C32" s="2001" t="s">
        <v>1683</v>
      </c>
    </row>
    <row r="33" spans="1:3" ht="13.5">
      <c r="A33" s="3119"/>
      <c r="B33" s="3118"/>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X37" sqref="X37"/>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43457</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44395</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939"/>
      <c r="D12" s="1703"/>
      <c r="E12" s="1024"/>
      <c r="F12" s="1032"/>
    </row>
    <row r="13" spans="1:6" ht="24" customHeight="1">
      <c r="A13" s="1703" t="s">
        <v>840</v>
      </c>
      <c r="B13" s="1024">
        <f ca="1">IF(C13&lt;B2,"已过期",1120070131)</f>
        <v>1120070131</v>
      </c>
      <c r="C13" s="2347">
        <v>43814</v>
      </c>
      <c r="D13" s="2350" t="s">
        <v>840</v>
      </c>
      <c r="E13" s="1024">
        <f ca="1">IF(F13&lt;B2,"已过期",2014110011)</f>
        <v>2014110011</v>
      </c>
      <c r="F13" s="1032">
        <v>49302</v>
      </c>
    </row>
    <row r="14" spans="1:6" ht="24" customHeight="1">
      <c r="A14" s="1703" t="s">
        <v>3029</v>
      </c>
      <c r="B14" s="1024">
        <f ca="1">IF(C14&lt;B2,"已过期",1120040230)</f>
        <v>1120040230</v>
      </c>
      <c r="C14" s="2347">
        <v>43835</v>
      </c>
      <c r="D14" s="2350" t="s">
        <v>3029</v>
      </c>
      <c r="E14" s="1024">
        <f ca="1">IF(F14&lt;B2,"已过期",98030020)</f>
        <v>98030020</v>
      </c>
      <c r="F14" s="1032">
        <v>47118</v>
      </c>
    </row>
    <row r="15" spans="1:6" ht="24" customHeight="1">
      <c r="A15" s="1704" t="s">
        <v>3030</v>
      </c>
      <c r="B15" s="1024">
        <f ca="1">IF(C15&lt;B2,"已过期",1120070085)</f>
        <v>1120070085</v>
      </c>
      <c r="C15" s="2347">
        <v>43814</v>
      </c>
      <c r="D15" s="2351" t="s">
        <v>3030</v>
      </c>
      <c r="E15" s="1024">
        <f ca="1">IF(F15&lt;B2,"已过期",2004110128)</f>
        <v>2004110128</v>
      </c>
      <c r="F15" s="1025">
        <v>47118</v>
      </c>
    </row>
    <row r="16" spans="1:6" ht="24" customHeight="1">
      <c r="A16" s="1703" t="s">
        <v>3031</v>
      </c>
      <c r="B16" s="1024">
        <f ca="1">IF(C16&lt;B2,"已过期",1120140022)</f>
        <v>1120140022</v>
      </c>
      <c r="C16" s="2939">
        <v>44029</v>
      </c>
      <c r="D16" s="2350" t="s">
        <v>3031</v>
      </c>
      <c r="E16" s="1024">
        <f ca="1">IF(F16&lt;B2,"已过期",2008110059)</f>
        <v>2008110059</v>
      </c>
      <c r="F16" s="1032">
        <v>47177</v>
      </c>
    </row>
    <row r="17" spans="1:7" ht="24" customHeight="1">
      <c r="A17" s="1703"/>
      <c r="B17" s="1024"/>
      <c r="C17" s="2347"/>
      <c r="D17" s="2350" t="s">
        <v>3032</v>
      </c>
      <c r="E17" s="1024">
        <f ca="1">IF(F17&lt;B2,"已过期",2014110076)</f>
        <v>2014110076</v>
      </c>
      <c r="F17" s="1032">
        <v>49302</v>
      </c>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841</v>
      </c>
      <c r="E21" s="1024">
        <f ca="1">IF(F21&lt;B2,"已过期",2011110090)</f>
        <v>2011110090</v>
      </c>
      <c r="F21" s="1032">
        <v>48302</v>
      </c>
    </row>
    <row r="22" spans="1:7" ht="24" customHeight="1">
      <c r="A22" s="1703" t="s">
        <v>842</v>
      </c>
      <c r="B22" s="1024">
        <f ca="1">IF(C22&lt;B2,"已过期",1120020033)</f>
        <v>1120020033</v>
      </c>
      <c r="C22" s="2939">
        <v>44339</v>
      </c>
      <c r="D22" s="2350" t="s">
        <v>842</v>
      </c>
      <c r="E22" s="1024">
        <f ca="1">IF(F22&lt;B2,"已过期",2000110137)</f>
        <v>2000110137</v>
      </c>
      <c r="F22" s="1032">
        <v>46387</v>
      </c>
    </row>
    <row r="23" spans="1:7" ht="24" customHeight="1">
      <c r="A23" s="1703"/>
      <c r="B23" s="1024"/>
      <c r="C23" s="2347"/>
      <c r="D23" s="2350"/>
      <c r="E23" s="1024"/>
      <c r="F23" s="1024"/>
    </row>
    <row r="24" spans="1:7" s="1026" customFormat="1" ht="24" customHeight="1">
      <c r="A24" s="1704" t="s">
        <v>1329</v>
      </c>
      <c r="B24" s="1704" t="s">
        <v>1329</v>
      </c>
      <c r="C24" s="2348" t="s">
        <v>1329</v>
      </c>
      <c r="D24" s="2351" t="s">
        <v>1329</v>
      </c>
      <c r="E24" s="1704" t="s">
        <v>1329</v>
      </c>
      <c r="F24" s="1704" t="s">
        <v>1329</v>
      </c>
    </row>
    <row r="25" spans="1:7" ht="24" customHeight="1">
      <c r="A25" s="3123" t="s">
        <v>843</v>
      </c>
      <c r="B25" s="3123"/>
      <c r="C25" s="3123"/>
      <c r="D25" s="3123"/>
      <c r="E25" s="3123"/>
      <c r="F25" s="3123"/>
      <c r="G25" s="3123"/>
    </row>
    <row r="26" spans="1:7" s="1027" customFormat="1" ht="24" customHeight="1">
      <c r="A26" s="3124" t="s">
        <v>844</v>
      </c>
      <c r="B26" s="3124"/>
      <c r="C26" s="3125"/>
      <c r="D26" s="3126" t="s">
        <v>845</v>
      </c>
      <c r="E26" s="3124"/>
      <c r="F26" s="3124"/>
    </row>
    <row r="27" spans="1:7" s="1029" customFormat="1" ht="24" customHeight="1">
      <c r="A27" s="1028" t="s">
        <v>846</v>
      </c>
      <c r="B27" s="1023" t="s">
        <v>847</v>
      </c>
      <c r="C27" s="2346" t="s">
        <v>848</v>
      </c>
      <c r="D27" s="2354" t="s">
        <v>846</v>
      </c>
      <c r="E27" s="1023" t="s">
        <v>847</v>
      </c>
      <c r="F27" s="1023" t="s">
        <v>848</v>
      </c>
    </row>
    <row r="28" spans="1:7" s="1029" customFormat="1" ht="24" customHeight="1">
      <c r="A28" s="1030" t="s">
        <v>849</v>
      </c>
      <c r="B28" s="1031" t="s">
        <v>850</v>
      </c>
      <c r="C28" s="2352">
        <v>43725</v>
      </c>
      <c r="D28" s="2355" t="s">
        <v>851</v>
      </c>
      <c r="E28" s="1030" t="s">
        <v>852</v>
      </c>
      <c r="F28" s="1060">
        <v>44377</v>
      </c>
    </row>
    <row r="29" spans="1:7" s="1029" customFormat="1" ht="24" customHeight="1">
      <c r="A29" s="1030"/>
      <c r="B29" s="1030"/>
      <c r="C29" s="2353"/>
      <c r="D29" s="2355"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规证面积</vt:lpstr>
      <vt:lpstr>抵押物清单（分楼）</vt:lpstr>
      <vt:lpstr>房号明细</vt:lpstr>
      <vt:lpstr>抵押物清单</vt:lpstr>
      <vt:lpstr>面积指标</vt:lpstr>
      <vt:lpstr>已售清单</vt:lpstr>
      <vt:lpstr>土地案例</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 (商业)</vt:lpstr>
      <vt:lpstr>收益法 (仓储)</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(仓储)'!Print_Area</vt:lpstr>
      <vt:lpstr>'收益法 (地下车库)'!Print_Area</vt:lpstr>
      <vt:lpstr>'收益法 (商业)'!Print_Area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2018-12-23T11:07:21Z</dcterms:modified>
</cp:coreProperties>
</file>