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吴琼华夏金台路\P01DYGJ2\过程\"/>
    </mc:Choice>
  </mc:AlternateContent>
  <xr:revisionPtr revIDLastSave="0" documentId="13_ncr:1_{AE2F1B61-E3DC-4A87-BAC9-BB829205C094}"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1"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收益法 (元)" sheetId="67" r:id="rId37"/>
    <sheet name="租金"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36">'收益法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7">'[2]比较法-办公'!$B$119:$M$119</definedName>
    <definedName name="办公层高">'比较法-办公'!$B$119:$M$119</definedName>
    <definedName name="办公朝向" localSheetId="37">'[2]比较法-办公'!$B$91:$M$91</definedName>
    <definedName name="办公朝向">'比较法-办公'!$B$91:$M$91</definedName>
    <definedName name="办公道路级别" localSheetId="37">'[2]比较法-办公'!$B$87:$M$87</definedName>
    <definedName name="办公道路级别">'比较法-办公'!$B$87:$M$87</definedName>
    <definedName name="办公公共部分装修" localSheetId="37">'[2]比较法-办公'!$B$108:$M$108</definedName>
    <definedName name="办公公共部分装修">'比较法-办公'!$B$108:$M$108</definedName>
    <definedName name="办公基础设施水平" localSheetId="37">'[2]比较法-办公'!$B$117:$M$117</definedName>
    <definedName name="办公基础设施水平">'比较法-办公'!$B$117:$M$117</definedName>
    <definedName name="办公集聚程度" localSheetId="37">[2]定义!$M$1:$M$6</definedName>
    <definedName name="办公集聚程度">定义!$M$1:$M$6</definedName>
    <definedName name="办公建筑结构" localSheetId="37">'[2]比较法-办公'!$B$106:$M$106</definedName>
    <definedName name="办公建筑结构">'比较法-办公'!$B$106:$M$106</definedName>
    <definedName name="办公建筑类型" localSheetId="37">'[2]比较法-办公'!$B$101:$M$101</definedName>
    <definedName name="办公建筑类型">'比较法-办公'!$B$101:$M$101</definedName>
    <definedName name="办公交易情况" localSheetId="37">'[2]比较法-办公'!$A$62:$M$62</definedName>
    <definedName name="办公交易情况">'比较法-办公'!$A$62:$M$62</definedName>
    <definedName name="办公楼层" localSheetId="37">'[2]比较法-办公'!$B$89:$M$89</definedName>
    <definedName name="办公楼层">'比较法-办公'!$B$89:$M$89</definedName>
    <definedName name="办公内部装修" localSheetId="37">'[2]比较法-办公'!$B$123:$M$123</definedName>
    <definedName name="办公内部装修">'比较法-办公'!$B$123:$M$123</definedName>
    <definedName name="办公物业管理" localSheetId="37">'[2]比较法-办公'!$B$115:$M$115</definedName>
    <definedName name="办公物业管理">'比较法-办公'!$B$115:$M$115</definedName>
    <definedName name="办公用途" localSheetId="37">'[2]比较法-办公'!$B$64:$M$64</definedName>
    <definedName name="办公用途">'比较法-办公'!$B$64:$M$64</definedName>
    <definedName name="仓储公共部分装修" localSheetId="37">'[2]比较法-仓储'!$B$77:$M$77</definedName>
    <definedName name="仓储公共部分装修">'比较法-仓储'!$B$77:$M$77</definedName>
    <definedName name="仓储交易情况" localSheetId="37">'[2]比较法-仓储'!$A$49:$M$49</definedName>
    <definedName name="仓储交易情况">'比较法-仓储'!$A$49:$M$49</definedName>
    <definedName name="仓储楼层" localSheetId="37">'[2]比较法-仓储'!$B$69:$M$69</definedName>
    <definedName name="仓储楼层">'比较法-仓储'!$B$69:$M$69</definedName>
    <definedName name="仓储物业等级" localSheetId="37">'[2]比较法-仓储'!$B$82:$M$82</definedName>
    <definedName name="仓储物业等级">'比较法-仓储'!$B$82:$M$82</definedName>
    <definedName name="仓储用途" localSheetId="37">'[2]比较法-仓储'!$B$51:$M$51</definedName>
    <definedName name="仓储用途">'比较法-仓储'!$B$51:$M$51</definedName>
    <definedName name="产业集聚程度" localSheetId="37">[2]定义!$N$1:$N$6</definedName>
    <definedName name="产业集聚程度">定义!$N$1:$N$6</definedName>
    <definedName name="车位公共部分装修" localSheetId="37">'[2]比较法-车位'!$B$83:$M$83</definedName>
    <definedName name="车位公共部分装修">'比较法-车位'!$B$83:$M$83</definedName>
    <definedName name="车位交易情况" localSheetId="37">'[2]比较法-车位'!$A$51:$M$51</definedName>
    <definedName name="车位交易情况">'比较法-车位'!$A$51:$M$51</definedName>
    <definedName name="车位类型" localSheetId="37">'[2]比较法-车位'!$B$93:$M$93</definedName>
    <definedName name="车位类型">'比较法-车位'!$B$93:$M$93</definedName>
    <definedName name="车位楼层" localSheetId="37">'[2]比较法-车位'!$B$71:$M$71</definedName>
    <definedName name="车位楼层">'比较法-车位'!$B$71:$M$71</definedName>
    <definedName name="车位配套类型" localSheetId="37">'[2]比较法-车位'!$B$79:$M$79</definedName>
    <definedName name="车位配套类型">'比较法-车位'!$B$79:$M$79</definedName>
    <definedName name="车位物业等级" localSheetId="37">'[2]比较法-车位'!$B$88:$M$88</definedName>
    <definedName name="车位物业等级">'比较法-车位'!$B$88:$M$88</definedName>
    <definedName name="车位用途" localSheetId="37">'[2]比较法-车位'!$B$53:$M$53</definedName>
    <definedName name="车位用途">'比较法-车位'!$B$53:$M$53</definedName>
    <definedName name="城镇土地纳税等级分级范围" localSheetId="37">'[2]数据-取费表'!$D$41:$D$51</definedName>
    <definedName name="城镇土地纳税等级分级范围">'数据-取费表'!$A$53:$A$63</definedName>
    <definedName name="单价内涵" localSheetId="37">[2]定义!$V$1:$V$3</definedName>
    <definedName name="单价内涵">定义!$V$1:$V$3</definedName>
    <definedName name="地类判定" localSheetId="37">[2]定义!$H$1:$H$9</definedName>
    <definedName name="地类判定">定义!$H$1:$H$9</definedName>
    <definedName name="二级">区片价!$J$1:$J$21</definedName>
    <definedName name="二级分类" localSheetId="37">[2]修正!$C$19:$C$51</definedName>
    <definedName name="二级分类">修正!$C$19:$C$51</definedName>
    <definedName name="法定最高年限" localSheetId="37">[2]定义!$G$1:$G$4</definedName>
    <definedName name="法定最高年限">定义!$G$1:$G$6</definedName>
    <definedName name="工业公共部分装修" localSheetId="37">'[2]比较法-工业'!$B$95:$M$95</definedName>
    <definedName name="工业公共部分装修">'比较法-工业'!$B$95:$M$95</definedName>
    <definedName name="工业基础设施水平" localSheetId="37">'[2]比较法-工业'!$B$102:$M$102</definedName>
    <definedName name="工业基础设施水平">'比较法-工业'!$B$102:$M$102</definedName>
    <definedName name="工业建筑结构" localSheetId="37">'[2]比较法-工业'!$B$93:$M$93</definedName>
    <definedName name="工业建筑结构">'比较法-工业'!$B$93:$M$93</definedName>
    <definedName name="工业建筑类型" localSheetId="37">'[2]比较法-工业'!$B$88:$M$88</definedName>
    <definedName name="工业建筑类型">'比较法-工业'!$B$88:$M$88</definedName>
    <definedName name="工业交易情况" localSheetId="37">'[2]比较法-工业'!$A$55:$M$55</definedName>
    <definedName name="工业交易情况">'比较法-工业'!$A$55:$M$55</definedName>
    <definedName name="工业内部装修" localSheetId="37">'[2]比较法-工业'!$B$104:$M$104</definedName>
    <definedName name="工业内部装修">'比较法-工业'!$B$104:$M$104</definedName>
    <definedName name="工业物业管理" localSheetId="37">'[2]比较法-工业'!$B$100:$M$100</definedName>
    <definedName name="工业物业管理">'比较法-工业'!$B$100:$M$100</definedName>
    <definedName name="工业用途" localSheetId="37">'[2]比较法-工业'!$B$57:$M$57</definedName>
    <definedName name="工业用途">'比较法-工业'!$B$57:$M$57</definedName>
    <definedName name="公共配套设施" localSheetId="37">[2]定义!$Q$1:$Q$6</definedName>
    <definedName name="公共配套设施">定义!$Q$1:$Q$6</definedName>
    <definedName name="估价范围判定">定义!$D$1:$D$4</definedName>
    <definedName name="估价方法" localSheetId="37">[2]定义!$B$1:$B$50</definedName>
    <definedName name="估价方法">定义!$B$1:$B$50</definedName>
    <definedName name="环境" localSheetId="37">[2]定义!$S$1:$S$6</definedName>
    <definedName name="环境">定义!$S$1:$S$6</definedName>
    <definedName name="基础设施水平" localSheetId="37">[2]定义!$R$1:$R$7</definedName>
    <definedName name="基础设施水平">定义!$R$1:$R$6</definedName>
    <definedName name="季度">基准地价修正!$Q$19:$AD$19</definedName>
    <definedName name="价值类型2" localSheetId="37">[2]定义!$B$54:$B$56</definedName>
    <definedName name="价值类型2">定义!$B$54:$B$56</definedName>
    <definedName name="交通便捷度" localSheetId="37">[2]定义!$O$1:$O$6</definedName>
    <definedName name="交通便捷度">定义!$O$1:$O$6</definedName>
    <definedName name="九级">区片价!$Q$1:$Q$51</definedName>
    <definedName name="居住社区成熟度" localSheetId="37">[2]定义!$K$1:$K$6</definedName>
    <definedName name="居住社区成熟度">定义!$K$1:$K$6</definedName>
    <definedName name="类别">定义!$J$1:$J$3</definedName>
    <definedName name="临街状况" localSheetId="37">[2]定义!$T$1:$T$5</definedName>
    <definedName name="临街状况">定义!$T$1:$T$5</definedName>
    <definedName name="六级">区片价!$N$1:$N$64</definedName>
    <definedName name="内部装修维护情况" localSheetId="37">[2]定义!$U$1:$U$6</definedName>
    <definedName name="内部装修维护情况">定义!$U$1:$U$6</definedName>
    <definedName name="判定">[2]定义!$D$1:$D$4</definedName>
    <definedName name="七级">区片价!$O$1:$O$45</definedName>
    <definedName name="七通一平" localSheetId="37">[2]修正!$A$8:$A$16</definedName>
    <definedName name="七通一平">修正!$A$8:$A$16</definedName>
    <definedName name="区域土地利用方向" localSheetId="37">[2]定义!$P$1:$P$6</definedName>
    <definedName name="区域土地利用方向">定义!$P$1:$P$6</definedName>
    <definedName name="三级">区片价!$K$1:$K$26</definedName>
    <definedName name="商业层高" localSheetId="37">'[2]比较法-商业'!$B$116:$M$116</definedName>
    <definedName name="商业层高">'比较法-商业'!$B$116:$M$116</definedName>
    <definedName name="商业成新度">'比较法-商业'!$B$109:$M$109</definedName>
    <definedName name="商业繁华度" localSheetId="37">[2]定义!$L$1:$L$6</definedName>
    <definedName name="商业繁华度">定义!$L$1:$L$6</definedName>
    <definedName name="商业公共部分装修" localSheetId="37">'[2]比较法-商业'!$B$107:$M$107</definedName>
    <definedName name="商业公共部分装修">'比较法-商业'!$B$107:$M$107</definedName>
    <definedName name="商业基础设施水平" localSheetId="37">'[2]比较法-商业'!$B$112:$M$112</definedName>
    <definedName name="商业基础设施水平">'比较法-商业'!$B$112:$M$112</definedName>
    <definedName name="商业建筑结构" localSheetId="37">'[2]比较法-商业'!$B$105:$M$105</definedName>
    <definedName name="商业建筑结构">'比较法-商业'!$B$105:$M$105</definedName>
    <definedName name="商业交易情况" localSheetId="37">'[2]比较法-商业'!$A$61:$M$61</definedName>
    <definedName name="商业交易情况">'比较法-商业'!$A$61:$M$61</definedName>
    <definedName name="商业街名称" localSheetId="37">[2]修正!$C$71:$C$138</definedName>
    <definedName name="商业街名称">修正!$C$71:$C$138</definedName>
    <definedName name="商业进深比" localSheetId="37">'[2]比较法-商业'!$B$120:$M$120</definedName>
    <definedName name="商业进深比">'比较法-商业'!$B$120:$M$120</definedName>
    <definedName name="商业类型" localSheetId="37">'[2]比较法-商业'!$B$100:$M$100</definedName>
    <definedName name="商业类型">'比较法-商业'!$B$100:$M$100</definedName>
    <definedName name="商业临街状况" localSheetId="37">'[2]比较法-商业'!$B$86:$M$86</definedName>
    <definedName name="商业临街状况">'比较法-商业'!$B$86:$M$86</definedName>
    <definedName name="商业楼层" localSheetId="37">'[2]比较法-商业'!$B$92:$M$92</definedName>
    <definedName name="商业楼层">'比较法-商业'!$B$92:$M$92</definedName>
    <definedName name="商业内部装修" localSheetId="37">'[2]比较法-商业'!$B$122:$M$122</definedName>
    <definedName name="商业内部装修">'比较法-商业'!$B$122:$M$122</definedName>
    <definedName name="商业人流量" localSheetId="37">'[2]比较法-商业'!$B$90:$M$90</definedName>
    <definedName name="商业人流量">'比较法-商业'!$B$90:$M$90</definedName>
    <definedName name="商业业态" localSheetId="37">'[2]比较法-商业'!$B$114:$M$114</definedName>
    <definedName name="商业业态">'比较法-商业'!$B$114:$M$114</definedName>
    <definedName name="商业用途" localSheetId="3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'[2]比较法-仓储'!$B$89:$M$89</definedName>
    <definedName name="是否封闭">'比较法-仓储'!$B$89:$M$89</definedName>
    <definedName name="是否直接入户" localSheetId="37">'[2]比较法-车位'!$B$95:$M$95</definedName>
    <definedName name="是否直接入户">'比较法-车位'!$B$95:$M$95</definedName>
    <definedName name="四级">区片价!$L$1:$L$33</definedName>
    <definedName name="套工道路等级" localSheetId="37">'[2]土地比较法-工业'!$B$96:$M$96</definedName>
    <definedName name="套工道路等级">'土地比较法-工业'!$B$97:$M$97</definedName>
    <definedName name="套工地质条件" localSheetId="37">'[2]土地比较法-工业'!$B$113:$M$113</definedName>
    <definedName name="套工地质条件">'土地比较法-工业'!$B$114:$M$114</definedName>
    <definedName name="套工交易情况" localSheetId="37">'[2]土地比较法-住宅、综合'!$A$72:$M$72</definedName>
    <definedName name="套工交易情况">'土地比较法-住宅、综合'!$A$72:$M$72</definedName>
    <definedName name="套工土地级别" localSheetId="37">'[2]土地比较法-工业'!$B$98:$M$98</definedName>
    <definedName name="套工土地级别">'土地比较法-工业'!$B$99:$M$99</definedName>
    <definedName name="套工用途" localSheetId="37">'[2]土地比较法-工业'!$B$69:$M$69</definedName>
    <definedName name="套工用途">'土地比较法-工业'!$B$70:$M$70</definedName>
    <definedName name="套工宗地开发程度">'土地比较法-工业'!$B$112:$M$112</definedName>
    <definedName name="套工宗地内开发程度">'[2]土地比较法-工业'!$B$111:$M$111</definedName>
    <definedName name="套工宗地形状" localSheetId="37">'[2]土地比较法-工业'!$B$109:$M$109</definedName>
    <definedName name="套工宗地形状">'土地比较法-工业'!$B$110:$M$110</definedName>
    <definedName name="套综道路等级" localSheetId="37">'[2]土地比较法-住宅、综合'!$B$105:$M$105</definedName>
    <definedName name="套综道路等级">'土地比较法-住宅、综合'!$B$105:$M$105</definedName>
    <definedName name="套综工程地质条件" localSheetId="37">'[2]土地比较法-住宅、综合'!$B$124:$M$124</definedName>
    <definedName name="套综工程地质条件">'土地比较法-住宅、综合'!$B$124:$M$124</definedName>
    <definedName name="套综交易情况" localSheetId="37">'[2]土地比较法-住宅、综合'!$A$72:$M$72</definedName>
    <definedName name="套综交易情况">'土地比较法-住宅、综合'!$A$72:$M$72</definedName>
    <definedName name="套综临街宽度及深度" localSheetId="37">'[2]土地比较法-住宅、综合'!$B$120:$M$120</definedName>
    <definedName name="套综临街宽度及深度">'土地比较法-住宅、综合'!$B$120:$M$120</definedName>
    <definedName name="套综土地级别" localSheetId="37">'[2]土地比较法-住宅、综合'!$B$107:$M$107</definedName>
    <definedName name="套综土地级别">'土地比较法-住宅、综合'!$B$107:$M$107</definedName>
    <definedName name="套综用途" localSheetId="37">'[2]土地比较法-住宅、综合'!$B$74:$M$74</definedName>
    <definedName name="套综用途">'土地比较法-住宅、综合'!$B$74:$M$74</definedName>
    <definedName name="套综宗地内开发程度" localSheetId="37">'[2]土地比较法-住宅、综合'!$B$122:$M$122</definedName>
    <definedName name="套综宗地内开发程度">'土地比较法-住宅、综合'!$B$122:$M$122</definedName>
    <definedName name="套综宗地形状" localSheetId="37">'[2]土地比较法-住宅、综合'!$B$118:$M$118</definedName>
    <definedName name="套综宗地形状">'土地比较法-住宅、综合'!$B$118:$M$118</definedName>
    <definedName name="土地估价师">估价师及机构信息!$D$3:$D$24</definedName>
    <definedName name="土地级别" localSheetId="37">[2]定义!$C$1:$C$13</definedName>
    <definedName name="土地级别">定义!$C$1:$C$14</definedName>
    <definedName name="土地利用方向">定义!$P$1:$P$6</definedName>
    <definedName name="土地年限区间" localSheetId="37">[2]定义!$I$1:$I$8</definedName>
    <definedName name="土地年限区间">定义!$I$1:$I$16</definedName>
    <definedName name="位置">定义!$E$2:$E$4</definedName>
    <definedName name="五等判定" localSheetId="37">[2]定义!$W$1:$W$6</definedName>
    <definedName name="五等判定">定义!$W$1:$W$6</definedName>
    <definedName name="五级">区片价!$M$1:$M$41</definedName>
    <definedName name="项目类型" localSheetId="24">'[1]数据-汇总表'!$C$17:$C$26</definedName>
    <definedName name="项目类型" localSheetId="37">'[3]数据-汇总表'!$C$17:$C$26</definedName>
    <definedName name="项目类型">'数据-汇总表'!$C$17:$C$26</definedName>
    <definedName name="写字楼等级" localSheetId="37">'[2]比较法-办公'!$B$113:$M$113</definedName>
    <definedName name="写字楼等级">'比较法-办公'!$B$113:$M$113</definedName>
    <definedName name="一级">区片价!$I$1:$I$6</definedName>
    <definedName name="一修多修正项2" localSheetId="37">[2]典型户型修正!$8:$8</definedName>
    <definedName name="一修多修正项2">典型户型修正!$5:$5</definedName>
    <definedName name="一修多修正项3" localSheetId="37">[2]典型户型修正!$10:$10</definedName>
    <definedName name="一修多修正项3">典型户型修正!$7:$7</definedName>
    <definedName name="一修多修正项4" localSheetId="37">[2]典型户型修正!$12:$12</definedName>
    <definedName name="一修多修正项4">典型户型修正!$9:$9</definedName>
    <definedName name="一修多修正项5" localSheetId="37">[2]典型户型修正!$14:$14</definedName>
    <definedName name="一修多修正项5">典型户型修正!$11:$11</definedName>
    <definedName name="一修多修正项6" localSheetId="37">[2]典型户型修正!$16:$16</definedName>
    <definedName name="一修多修正项6">典型户型修正!$13:$13</definedName>
    <definedName name="一修多修正项7" localSheetId="37">[2]典型户型修正!$18:$18</definedName>
    <definedName name="一修多修正项7">典型户型修正!$15:$15</definedName>
    <definedName name="一修多修正项8" localSheetId="37">[2]典型户型修正!$20:$20</definedName>
    <definedName name="一修多修正项8">典型户型修正!$17:$17</definedName>
    <definedName name="用途明细">定义!$A$1:$A$50</definedName>
    <definedName name="有无电梯" localSheetId="37">'[2]比较法-仓储'!$B$84:$M$84</definedName>
    <definedName name="有无电梯">'比较法-仓储'!$B$84:$M$84</definedName>
    <definedName name="主用途">定义!$F$1:$F$12</definedName>
    <definedName name="住宅朝向" localSheetId="37">'[2]比较法-住宅'!$B$88:$M$88</definedName>
    <definedName name="住宅朝向">'比较法-住宅'!$B$88:$M$88</definedName>
    <definedName name="住宅房型" localSheetId="37">'[2]比较法-住宅'!$B$118:$M$118</definedName>
    <definedName name="住宅房型">'比较法-住宅'!$B$118:$M$118</definedName>
    <definedName name="住宅公共部分装修" localSheetId="37">'[2]比较法-住宅'!$B$109:$M$109</definedName>
    <definedName name="住宅公共部分装修">'比较法-住宅'!$B$109:$M$109</definedName>
    <definedName name="住宅基础设施水平" localSheetId="37">'[2]比较法-住宅'!$B$116:$M$116</definedName>
    <definedName name="住宅基础设施水平">'比较法-住宅'!$B$116:$M$116</definedName>
    <definedName name="住宅建筑结构" localSheetId="37">'[2]比较法-住宅'!$B$105:$M$105</definedName>
    <definedName name="住宅建筑结构">'比较法-住宅'!$B$105:$M$105</definedName>
    <definedName name="住宅建筑类型" localSheetId="37">'[2]比较法-住宅'!$B$100:$M$100</definedName>
    <definedName name="住宅建筑类型">'比较法-住宅'!$B$100:$M$100</definedName>
    <definedName name="住宅建筑品质" localSheetId="37">'[2]比较法-住宅'!$B$107:$M$107</definedName>
    <definedName name="住宅建筑品质">'比较法-住宅'!$B$107:$M$107</definedName>
    <definedName name="住宅交易情况" localSheetId="37">'[2]比较法-住宅'!$A$61:$M$61</definedName>
    <definedName name="住宅交易情况">'比较法-住宅'!$A$61:$M$61</definedName>
    <definedName name="住宅楼层" localSheetId="37">'[2]比较法-住宅'!$B$86:$M$86</definedName>
    <definedName name="住宅楼层">'比较法-住宅'!$B$86:$M$86</definedName>
    <definedName name="住宅内部装修" localSheetId="37">'[2]比较法-住宅'!$B$122:$M$122</definedName>
    <definedName name="住宅内部装修">'比较法-住宅'!$B$122:$M$122</definedName>
    <definedName name="住宅物业管理" localSheetId="37">'[2]比较法-住宅'!$B$114:$M$114</definedName>
    <definedName name="住宅物业管理">'比较法-住宅'!$B$114:$M$114</definedName>
    <definedName name="住宅用途" localSheetId="37">'[2]比较法-住宅'!$B$63:$M$63</definedName>
    <definedName name="住宅用途">'比较法-住宅'!$B$63:$M$63</definedName>
    <definedName name="住宅主力户型面积">'比较法-住宅'!$B$120:$M$120</definedName>
    <definedName name="注册房地产估价师" localSheetId="37">[2]估价师及机构信息!$A$3:$A$16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66" i="9" l="1"/>
  <c r="C33" i="33"/>
  <c r="C89" i="33"/>
  <c r="C93" i="33"/>
  <c r="P88" i="33"/>
  <c r="J14" i="82"/>
  <c r="K13" i="82"/>
  <c r="L13" i="82" s="1"/>
  <c r="D13" i="82"/>
  <c r="K12" i="82"/>
  <c r="L12" i="82" s="1"/>
  <c r="F12" i="82"/>
  <c r="L11" i="82"/>
  <c r="K11" i="82"/>
  <c r="F11" i="82"/>
  <c r="L10" i="82"/>
  <c r="K10" i="82"/>
  <c r="F10" i="82"/>
  <c r="L9" i="82"/>
  <c r="L14" i="82" s="1"/>
  <c r="K9" i="82"/>
  <c r="F9" i="82"/>
  <c r="F13" i="82" s="1"/>
  <c r="F16" i="82" s="1"/>
  <c r="F17" i="82" s="1"/>
  <c r="O8" i="82"/>
  <c r="O9" i="82" s="1"/>
  <c r="O10" i="82" s="1"/>
  <c r="C4" i="82"/>
  <c r="C2" i="82"/>
  <c r="E66" i="33"/>
  <c r="D66" i="33"/>
  <c r="I7" i="33"/>
  <c r="G7" i="33"/>
  <c r="E7" i="33"/>
  <c r="J52" i="67"/>
  <c r="Y6" i="1"/>
  <c r="G51" i="43"/>
  <c r="G52" i="43"/>
  <c r="G53" i="43"/>
  <c r="G54" i="43"/>
  <c r="G55" i="43"/>
  <c r="G56" i="43"/>
  <c r="G57" i="43"/>
  <c r="G58" i="43"/>
  <c r="G50" i="43"/>
  <c r="U3" i="43"/>
  <c r="U2" i="43"/>
  <c r="N6" i="1"/>
  <c r="N21" i="1"/>
  <c r="N19" i="1"/>
  <c r="F19" i="6"/>
  <c r="C60" i="78" l="1"/>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F28" i="71"/>
  <c r="F27" i="71"/>
  <c r="F26"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F18" i="35"/>
  <c r="S18" i="35" s="1"/>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G68" i="35"/>
  <c r="J18" i="35"/>
  <c r="H21" i="37"/>
  <c r="F21" i="37"/>
  <c r="AA21" i="37" s="1"/>
  <c r="F84" i="34"/>
  <c r="G84" i="34" s="1"/>
  <c r="H21" i="34"/>
  <c r="AB21" i="34" s="1"/>
  <c r="H21" i="33"/>
  <c r="U21" i="33" s="1"/>
  <c r="F21" i="33"/>
  <c r="E83" i="21"/>
  <c r="F83" i="21" s="1"/>
  <c r="G83" i="21" s="1"/>
  <c r="H1" i="69"/>
  <c r="AC25" i="40"/>
  <c r="W25" i="40"/>
  <c r="U25" i="40"/>
  <c r="U29" i="39"/>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B88" i="33"/>
  <c r="C23" i="33"/>
  <c r="C19" i="33"/>
  <c r="C17" i="33"/>
  <c r="C15" i="33"/>
  <c r="C15" i="21"/>
  <c r="D125" i="33"/>
  <c r="D123" i="33"/>
  <c r="D117" i="33"/>
  <c r="E117" i="33" s="1"/>
  <c r="F117" i="33" s="1"/>
  <c r="G117" i="33" s="1"/>
  <c r="D115" i="33"/>
  <c r="H38" i="33" s="1"/>
  <c r="AB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s="1"/>
  <c r="AB41" i="21"/>
  <c r="S41" i="21"/>
  <c r="AA41" i="21"/>
  <c r="F45" i="39"/>
  <c r="S45" i="39" s="1"/>
  <c r="J45" i="39"/>
  <c r="W45" i="39" s="1"/>
  <c r="J44" i="39"/>
  <c r="AC44" i="39" s="1"/>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S40" i="33"/>
  <c r="H39" i="37"/>
  <c r="AB39" i="37" s="1"/>
  <c r="S27" i="35"/>
  <c r="F11" i="40"/>
  <c r="AA11" i="40"/>
  <c r="H11" i="40"/>
  <c r="AB11" i="40" s="1"/>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c r="F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194" i="3"/>
  <c r="AZ198"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8"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AZ350" i="3"/>
  <c r="AZ356" i="3"/>
  <c r="BA15" i="3"/>
  <c r="BB5" i="3"/>
  <c r="BR5"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9" i="3"/>
  <c r="AZ271" i="3"/>
  <c r="AZ133" i="3"/>
  <c r="AZ77" i="3"/>
  <c r="AZ82"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K6" i="1"/>
  <c r="AP6" i="1" s="1"/>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H27" i="33"/>
  <c r="AB27" i="33" s="1"/>
  <c r="F87" i="33"/>
  <c r="H25" i="33"/>
  <c r="U25" i="33" s="1"/>
  <c r="F25" i="33"/>
  <c r="AA25" i="33" s="1"/>
  <c r="H23" i="33"/>
  <c r="AB23" i="33" s="1"/>
  <c r="F81" i="33"/>
  <c r="F19" i="33"/>
  <c r="W19" i="33"/>
  <c r="J17" i="33"/>
  <c r="AC17" i="33" s="1"/>
  <c r="J10" i="33"/>
  <c r="W10" i="33" s="1"/>
  <c r="H10" i="33"/>
  <c r="U10" i="33" s="1"/>
  <c r="AC11" i="33"/>
  <c r="AB14" i="33"/>
  <c r="W43" i="21"/>
  <c r="W36" i="21"/>
  <c r="W41" i="21"/>
  <c r="AB39" i="21"/>
  <c r="AA43" i="21"/>
  <c r="S39" i="21"/>
  <c r="AA38" i="21"/>
  <c r="AA36" i="21"/>
  <c r="AC40" i="21"/>
  <c r="J15" i="21"/>
  <c r="F77" i="21"/>
  <c r="G77" i="21"/>
  <c r="F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33"/>
  <c r="C7" i="2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S33" i="33"/>
  <c r="U44" i="33"/>
  <c r="AB44" i="33"/>
  <c r="S30" i="33"/>
  <c r="AA30" i="33"/>
  <c r="AC14" i="33"/>
  <c r="W14" i="33"/>
  <c r="AC30" i="33"/>
  <c r="W30" i="33"/>
  <c r="S31" i="33"/>
  <c r="AA31" i="33"/>
  <c r="W13" i="33"/>
  <c r="AC13" i="33"/>
  <c r="S11" i="33"/>
  <c r="U37"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H32" i="39"/>
  <c r="AB32" i="39" s="1"/>
  <c r="S32" i="39"/>
  <c r="AB21" i="39"/>
  <c r="U21" i="39"/>
  <c r="AA21" i="39"/>
  <c r="S21" i="39"/>
  <c r="AC17" i="37"/>
  <c r="S17" i="37"/>
  <c r="J19" i="37"/>
  <c r="W19" i="37" s="1"/>
  <c r="G75" i="37"/>
  <c r="AA19"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G87" i="33"/>
  <c r="H87" i="33"/>
  <c r="I87" i="33" s="1"/>
  <c r="J87" i="33" s="1"/>
  <c r="K87" i="33" s="1"/>
  <c r="L87" i="33" s="1"/>
  <c r="M87" i="33" s="1"/>
  <c r="J25" i="33"/>
  <c r="AC25" i="33" s="1"/>
  <c r="H19" i="33"/>
  <c r="AB19" i="33" s="1"/>
  <c r="G81" i="33"/>
  <c r="H17" i="33"/>
  <c r="U17" i="33" s="1"/>
  <c r="F17" i="33"/>
  <c r="S17" i="33" s="1"/>
  <c r="AB15" i="21"/>
  <c r="J23" i="21"/>
  <c r="W23" i="21" s="1"/>
  <c r="F85" i="21"/>
  <c r="G85" i="21" s="1"/>
  <c r="H23" i="21"/>
  <c r="U23" i="21" s="1"/>
  <c r="S13" i="21"/>
  <c r="D6" i="52"/>
  <c r="AP7" i="1"/>
  <c r="AB45" i="21"/>
  <c r="AB9" i="21"/>
  <c r="U9" i="21"/>
  <c r="AA32" i="21"/>
  <c r="S32" i="21"/>
  <c r="W9" i="21"/>
  <c r="AC9" i="21"/>
  <c r="AB32" i="21"/>
  <c r="U32" i="21"/>
  <c r="U32" i="39"/>
  <c r="W23" i="37"/>
  <c r="AC23" i="37"/>
  <c r="J11" i="37"/>
  <c r="AC11" i="37" s="1"/>
  <c r="H70" i="34"/>
  <c r="I70" i="34" s="1"/>
  <c r="J70" i="34" s="1"/>
  <c r="K70" i="34" s="1"/>
  <c r="L70" i="34" s="1"/>
  <c r="M70" i="34" s="1"/>
  <c r="J11" i="34"/>
  <c r="W11" i="34" s="1"/>
  <c r="AB23" i="21"/>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L47" i="15"/>
  <c r="E7" i="76"/>
  <c r="F40" i="15"/>
  <c r="M23" i="15"/>
  <c r="B13" i="76"/>
  <c r="M6" i="15"/>
  <c r="B8" i="76"/>
  <c r="E10" i="76"/>
  <c r="F5" i="73"/>
  <c r="F4" i="73"/>
  <c r="F6" i="15"/>
  <c r="F3" i="73"/>
  <c r="M26" i="15"/>
  <c r="B12" i="76"/>
  <c r="E9" i="76"/>
  <c r="E2" i="69"/>
  <c r="B10" i="76"/>
  <c r="M28" i="15"/>
  <c r="F20" i="31"/>
  <c r="M9" i="15"/>
  <c r="F6" i="73"/>
  <c r="AO13" i="1"/>
  <c r="F38" i="15"/>
  <c r="E8" i="76"/>
  <c r="F9" i="15"/>
  <c r="F42" i="15"/>
  <c r="F36" i="67"/>
  <c r="M29" i="15"/>
  <c r="F26" i="15"/>
  <c r="F7" i="15"/>
  <c r="M9" i="67"/>
  <c r="D6" i="73"/>
  <c r="F36" i="15"/>
  <c r="B11" i="76"/>
  <c r="M22" i="15"/>
  <c r="M24" i="15"/>
  <c r="F43" i="15"/>
  <c r="L48" i="15"/>
  <c r="F9" i="67"/>
  <c r="F8" i="67"/>
  <c r="F7" i="73"/>
  <c r="M6" i="67"/>
  <c r="M8" i="67"/>
  <c r="F43" i="67"/>
  <c r="F38" i="67"/>
  <c r="C76" i="15"/>
  <c r="F16" i="15"/>
  <c r="F8" i="15"/>
  <c r="F7" i="67"/>
  <c r="J15" i="15"/>
  <c r="M26" i="67"/>
  <c r="F26" i="67"/>
  <c r="E11" i="76"/>
  <c r="E13" i="76"/>
  <c r="B7" i="76"/>
  <c r="M8" i="15"/>
  <c r="F13" i="15"/>
  <c r="B9" i="76"/>
  <c r="F37" i="15"/>
  <c r="E12" i="76"/>
  <c r="M28" i="67"/>
  <c r="E91" i="33" l="1"/>
  <c r="D89" i="33"/>
  <c r="S36" i="33"/>
  <c r="AC34" i="33"/>
  <c r="U32" i="33"/>
  <c r="U35" i="33"/>
  <c r="AB34" i="33"/>
  <c r="J42" i="33"/>
  <c r="AC42" i="33" s="1"/>
  <c r="E115" i="33"/>
  <c r="F115" i="33" s="1"/>
  <c r="G115" i="33" s="1"/>
  <c r="H115" i="33" s="1"/>
  <c r="I115" i="33" s="1"/>
  <c r="J115" i="33" s="1"/>
  <c r="K115" i="33" s="1"/>
  <c r="L115" i="33" s="1"/>
  <c r="M115" i="33" s="1"/>
  <c r="W38" i="33"/>
  <c r="AC28" i="33"/>
  <c r="U42" i="33"/>
  <c r="S42" i="33"/>
  <c r="S39" i="33"/>
  <c r="U39" i="33"/>
  <c r="W39" i="33"/>
  <c r="U38" i="33"/>
  <c r="S38" i="33"/>
  <c r="AC35" i="33"/>
  <c r="AA35" i="33"/>
  <c r="AA34" i="33"/>
  <c r="W33" i="33"/>
  <c r="U33" i="33"/>
  <c r="W32" i="33"/>
  <c r="S32" i="33"/>
  <c r="S28" i="33"/>
  <c r="W25" i="33"/>
  <c r="S25" i="33"/>
  <c r="AB25" i="33"/>
  <c r="F23" i="33"/>
  <c r="J23" i="33"/>
  <c r="AC23" i="33" s="1"/>
  <c r="U23" i="33"/>
  <c r="AB21" i="33"/>
  <c r="AC21" i="33"/>
  <c r="U19" i="33"/>
  <c r="W17" i="33"/>
  <c r="W15" i="33"/>
  <c r="U15" i="33"/>
  <c r="S15" i="33"/>
  <c r="AB9" i="33"/>
  <c r="U9" i="33"/>
  <c r="W8" i="33"/>
  <c r="D52" i="43"/>
  <c r="F29" i="6"/>
  <c r="C7" i="40"/>
  <c r="C63" i="40" s="1"/>
  <c r="C7" i="39"/>
  <c r="C67" i="39" s="1"/>
  <c r="U36" i="33"/>
  <c r="AB36" i="33"/>
  <c r="S23" i="21"/>
  <c r="AA23" i="21"/>
  <c r="AC32" i="39"/>
  <c r="W32" i="39"/>
  <c r="AA37" i="21"/>
  <c r="S37" i="21"/>
  <c r="AA39" i="40"/>
  <c r="S39" i="40"/>
  <c r="AC27" i="40"/>
  <c r="W27" i="40"/>
  <c r="AB32" i="37"/>
  <c r="U32" i="37"/>
  <c r="S19" i="33"/>
  <c r="AA19" i="33"/>
  <c r="U27" i="33"/>
  <c r="S23" i="37"/>
  <c r="AA23" i="37"/>
  <c r="W15" i="21"/>
  <c r="AC15" i="21"/>
  <c r="S11" i="39"/>
  <c r="AA11" i="39"/>
  <c r="AB33" i="40"/>
  <c r="AC31" i="33"/>
  <c r="AZ539" i="3"/>
  <c r="AZ529" i="3"/>
  <c r="AZ537" i="3"/>
  <c r="AZ518" i="3"/>
  <c r="AZ526" i="3"/>
  <c r="AZ546" i="3"/>
  <c r="AZ564" i="3"/>
  <c r="AZ580" i="3"/>
  <c r="AB45" i="33"/>
  <c r="S11" i="36"/>
  <c r="S14" i="37"/>
  <c r="AA44" i="34"/>
  <c r="AA29" i="35"/>
  <c r="AB17" i="34"/>
  <c r="F12" i="35"/>
  <c r="J12" i="35"/>
  <c r="AZ391" i="3"/>
  <c r="AZ364" i="3"/>
  <c r="AZ329" i="3"/>
  <c r="AZ306" i="3"/>
  <c r="AZ513" i="3"/>
  <c r="AZ502" i="3"/>
  <c r="G585" i="3"/>
  <c r="BL587" i="3"/>
  <c r="AZ587" i="3" s="1"/>
  <c r="BL586" i="3"/>
  <c r="AZ586" i="3" s="1"/>
  <c r="F9" i="34"/>
  <c r="AA9" i="34" s="1"/>
  <c r="H9" i="34"/>
  <c r="AZ402" i="3"/>
  <c r="AZ406" i="3"/>
  <c r="AA17" i="33"/>
  <c r="AZ357" i="3"/>
  <c r="AZ322" i="3"/>
  <c r="AZ313" i="3"/>
  <c r="AZ394" i="3"/>
  <c r="S14" i="40"/>
  <c r="AA25" i="21"/>
  <c r="AZ531" i="3"/>
  <c r="AZ583" i="3"/>
  <c r="AZ568" i="3"/>
  <c r="AZ576" i="3"/>
  <c r="AA14" i="34"/>
  <c r="F9" i="33"/>
  <c r="AA9" i="33" s="1"/>
  <c r="J9" i="33"/>
  <c r="J12" i="34"/>
  <c r="F12" i="34"/>
  <c r="S12" i="34" s="1"/>
  <c r="AZ14" i="3"/>
  <c r="AZ334" i="3"/>
  <c r="AZ347" i="3"/>
  <c r="AZ523" i="3"/>
  <c r="AZ547" i="3"/>
  <c r="AZ571" i="3"/>
  <c r="AZ579" i="3"/>
  <c r="BL585" i="3"/>
  <c r="AZ585" i="3" s="1"/>
  <c r="B101" i="43"/>
  <c r="B79" i="43"/>
  <c r="J23" i="35"/>
  <c r="H23" i="35"/>
  <c r="G551" i="3"/>
  <c r="BL550" i="3"/>
  <c r="G542" i="3"/>
  <c r="BL15" i="3"/>
  <c r="AZ15" i="3" s="1"/>
  <c r="BA398" i="3"/>
  <c r="BA399" i="3"/>
  <c r="AZ399" i="3" s="1"/>
  <c r="BL401" i="3"/>
  <c r="AZ401" i="3" s="1"/>
  <c r="BL404" i="3"/>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G451" i="3"/>
  <c r="BA454" i="3"/>
  <c r="BA457" i="3"/>
  <c r="BA459" i="3"/>
  <c r="BA460" i="3"/>
  <c r="BA461" i="3"/>
  <c r="BL464" i="3"/>
  <c r="BL466" i="3"/>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5" i="3"/>
  <c r="AZ245" i="3" s="1"/>
  <c r="BL248" i="3"/>
  <c r="AZ248" i="3" s="1"/>
  <c r="G271" i="3"/>
  <c r="AZ404" i="3"/>
  <c r="AZ405" i="3"/>
  <c r="AZ407" i="3"/>
  <c r="AZ419" i="3"/>
  <c r="AZ444" i="3"/>
  <c r="AZ448" i="3"/>
  <c r="AZ464" i="3"/>
  <c r="AZ466" i="3"/>
  <c r="AZ476" i="3"/>
  <c r="AZ480" i="3"/>
  <c r="BA332" i="3"/>
  <c r="AZ332" i="3" s="1"/>
  <c r="BL332" i="3"/>
  <c r="G364" i="3"/>
  <c r="BA367" i="3"/>
  <c r="AZ367" i="3" s="1"/>
  <c r="BA370" i="3"/>
  <c r="AZ370" i="3" s="1"/>
  <c r="F25" i="37"/>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L385" i="3"/>
  <c r="BA397" i="3"/>
  <c r="AZ397" i="3" s="1"/>
  <c r="BL397" i="3"/>
  <c r="BA210" i="3"/>
  <c r="AZ210" i="3" s="1"/>
  <c r="BL210" i="3"/>
  <c r="BL212" i="3"/>
  <c r="BL214" i="3"/>
  <c r="AZ214" i="3" s="1"/>
  <c r="BL225" i="3"/>
  <c r="BL226" i="3"/>
  <c r="BA265" i="3"/>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2" i="3"/>
  <c r="AZ242" i="3" s="1"/>
  <c r="BL252" i="3"/>
  <c r="BA257" i="3"/>
  <c r="G263" i="3"/>
  <c r="BL39" i="3"/>
  <c r="G43" i="3"/>
  <c r="G44" i="3"/>
  <c r="BL50" i="3"/>
  <c r="AZ50" i="3" s="1"/>
  <c r="BL51" i="3"/>
  <c r="AZ51" i="3" s="1"/>
  <c r="BL53" i="3"/>
  <c r="BL255" i="3"/>
  <c r="BL257" i="3"/>
  <c r="BL258" i="3"/>
  <c r="BA262" i="3"/>
  <c r="AZ262" i="3" s="1"/>
  <c r="BL265"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BA18" i="3"/>
  <c r="BL21" i="3"/>
  <c r="G23" i="3"/>
  <c r="G26" i="3"/>
  <c r="BA27" i="3"/>
  <c r="G30" i="3"/>
  <c r="BL30" i="3"/>
  <c r="BL31" i="3"/>
  <c r="BL49" i="3"/>
  <c r="AZ49" i="3" s="1"/>
  <c r="BA62" i="3"/>
  <c r="BA67" i="3"/>
  <c r="BA72" i="3"/>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90" i="3"/>
  <c r="BA197" i="3"/>
  <c r="BL205" i="3"/>
  <c r="BL24" i="3"/>
  <c r="G25" i="3"/>
  <c r="BL44" i="3"/>
  <c r="G45" i="3"/>
  <c r="BL45" i="3"/>
  <c r="AZ45" i="3" s="1"/>
  <c r="G56" i="3"/>
  <c r="BA239" i="3"/>
  <c r="BL239" i="3"/>
  <c r="BA241" i="3"/>
  <c r="BL241" i="3"/>
  <c r="BA244" i="3"/>
  <c r="BL244" i="3"/>
  <c r="BA246" i="3"/>
  <c r="BA252" i="3"/>
  <c r="AZ252" i="3" s="1"/>
  <c r="BA254" i="3"/>
  <c r="AZ254" i="3" s="1"/>
  <c r="BA256" i="3"/>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BA201" i="3"/>
  <c r="AZ201" i="3" s="1"/>
  <c r="G204" i="3"/>
  <c r="AZ103" i="3"/>
  <c r="F40" i="68"/>
  <c r="C21" i="68"/>
  <c r="D31" i="71"/>
  <c r="C32" i="71"/>
  <c r="C52" i="71"/>
  <c r="D51" i="71"/>
  <c r="C55" i="71"/>
  <c r="D54" i="71"/>
  <c r="C60" i="71"/>
  <c r="D59" i="71"/>
  <c r="N67" i="71"/>
  <c r="B66" i="71"/>
  <c r="F66" i="71"/>
  <c r="Q67" i="7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AZ57" i="3" s="1"/>
  <c r="G59" i="3"/>
  <c r="BL62" i="3"/>
  <c r="BL63" i="3"/>
  <c r="AZ63" i="3" s="1"/>
  <c r="BL65" i="3"/>
  <c r="AZ65" i="3" s="1"/>
  <c r="BL66" i="3"/>
  <c r="AZ66" i="3" s="1"/>
  <c r="BL67" i="3"/>
  <c r="BL70" i="3"/>
  <c r="AZ70" i="3" s="1"/>
  <c r="BL71" i="3"/>
  <c r="AZ71" i="3" s="1"/>
  <c r="BL72" i="3"/>
  <c r="BL75" i="3"/>
  <c r="BL91" i="3"/>
  <c r="BL105" i="3"/>
  <c r="BL107" i="3"/>
  <c r="C40" i="68"/>
  <c r="P65" i="71"/>
  <c r="P66" i="7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BA78" i="3"/>
  <c r="BA80" i="3"/>
  <c r="G84" i="3"/>
  <c r="BL84" i="3"/>
  <c r="BA89" i="3"/>
  <c r="BL92" i="3"/>
  <c r="BL94" i="3"/>
  <c r="AZ94" i="3" s="1"/>
  <c r="BL99" i="3"/>
  <c r="G101" i="3"/>
  <c r="BA101" i="3"/>
  <c r="BA102" i="3"/>
  <c r="BL110" i="3"/>
  <c r="BL111" i="3"/>
  <c r="AZ111" i="3" s="1"/>
  <c r="BL56" i="3"/>
  <c r="BA58" i="3"/>
  <c r="AZ58" i="3" s="1"/>
  <c r="BL59" i="3"/>
  <c r="BL60" i="3"/>
  <c r="BA61" i="3"/>
  <c r="AZ61" i="3" s="1"/>
  <c r="BA68" i="3"/>
  <c r="BA73" i="3"/>
  <c r="BA79" i="3"/>
  <c r="AZ79" i="3" s="1"/>
  <c r="G82" i="3"/>
  <c r="G83" i="3"/>
  <c r="BA84" i="3"/>
  <c r="AZ84" i="3" s="1"/>
  <c r="BL88" i="3"/>
  <c r="AZ88" i="3" s="1"/>
  <c r="G90" i="3"/>
  <c r="BL90" i="3"/>
  <c r="G98" i="3"/>
  <c r="G99" i="3"/>
  <c r="BA105" i="3"/>
  <c r="AZ105" i="3" s="1"/>
  <c r="BA106" i="3"/>
  <c r="BL108" i="3"/>
  <c r="G110" i="3"/>
  <c r="BL112" i="3"/>
  <c r="AA21" i="33"/>
  <c r="S21" i="33"/>
  <c r="C47" i="71"/>
  <c r="D47" i="71" s="1"/>
  <c r="D46" i="71"/>
  <c r="V24" i="71"/>
  <c r="E23" i="71"/>
  <c r="E22" i="71" s="1"/>
  <c r="E21" i="71" s="1"/>
  <c r="E20" i="71" s="1"/>
  <c r="G81" i="3"/>
  <c r="G85" i="3"/>
  <c r="BL85" i="3"/>
  <c r="BA86" i="3"/>
  <c r="AZ86" i="3" s="1"/>
  <c r="BA87" i="3"/>
  <c r="BA91" i="3"/>
  <c r="AZ91" i="3" s="1"/>
  <c r="G96" i="3"/>
  <c r="BL97" i="3"/>
  <c r="AZ97" i="3" s="1"/>
  <c r="BL101" i="3"/>
  <c r="BL102" i="3"/>
  <c r="G104" i="3"/>
  <c r="G105" i="3"/>
  <c r="BL106" i="3"/>
  <c r="BA108" i="3"/>
  <c r="AZ108" i="3" s="1"/>
  <c r="BA110" i="3"/>
  <c r="AZ110" i="3" s="1"/>
  <c r="F3" i="35"/>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F66" i="67"/>
  <c r="L59" i="15"/>
  <c r="N59" i="15"/>
  <c r="L58" i="15"/>
  <c r="M59" i="15"/>
  <c r="F66" i="15"/>
  <c r="F64" i="15"/>
  <c r="C27" i="67"/>
  <c r="F71" i="67"/>
  <c r="C27" i="15"/>
  <c r="F65" i="15"/>
  <c r="B13" i="70"/>
  <c r="M7" i="67"/>
  <c r="J6" i="67" s="1"/>
  <c r="F50" i="67"/>
  <c r="F64" i="67"/>
  <c r="F68" i="15"/>
  <c r="C36" i="68"/>
  <c r="D9" i="68"/>
  <c r="F27" i="69"/>
  <c r="C36" i="69"/>
  <c r="D9" i="69"/>
  <c r="F16" i="67"/>
  <c r="M22" i="67"/>
  <c r="M23" i="67"/>
  <c r="F13" i="67"/>
  <c r="F40" i="67"/>
  <c r="J15" i="67"/>
  <c r="C76" i="67"/>
  <c r="F6" i="67"/>
  <c r="L48" i="67"/>
  <c r="F42" i="67"/>
  <c r="F37" i="67"/>
  <c r="D3" i="73"/>
  <c r="D5" i="73"/>
  <c r="C16" i="15"/>
  <c r="L47" i="67"/>
  <c r="M24" i="67"/>
  <c r="M29" i="67"/>
  <c r="D4" i="73"/>
  <c r="D7" i="73"/>
  <c r="J26" i="33" l="1"/>
  <c r="H26" i="33"/>
  <c r="F26" i="33"/>
  <c r="F91" i="33"/>
  <c r="E89" i="33"/>
  <c r="F27" i="33"/>
  <c r="J27" i="33"/>
  <c r="W42" i="33"/>
  <c r="P6" i="1"/>
  <c r="C13" i="12" s="1"/>
  <c r="K16" i="1"/>
  <c r="J26" i="43"/>
  <c r="F26" i="43"/>
  <c r="D26" i="43" s="1"/>
  <c r="C25" i="43" s="1"/>
  <c r="D17" i="53"/>
  <c r="B36" i="72" s="1"/>
  <c r="L58" i="67"/>
  <c r="Q73" i="67" s="1"/>
  <c r="M59" i="67"/>
  <c r="N59" i="67"/>
  <c r="L59" i="67"/>
  <c r="Q61" i="67" s="1"/>
  <c r="F65" i="67"/>
  <c r="L56" i="67"/>
  <c r="I54" i="67"/>
  <c r="J53" i="67"/>
  <c r="F1" i="67" s="1"/>
  <c r="J57" i="67"/>
  <c r="J55" i="67" s="1"/>
  <c r="J58" i="67" s="1"/>
  <c r="Q50" i="67" s="1"/>
  <c r="F31" i="67"/>
  <c r="C6" i="67"/>
  <c r="C32" i="67" s="1"/>
  <c r="Q71" i="67"/>
  <c r="F68" i="67"/>
  <c r="T28" i="71"/>
  <c r="D28" i="71"/>
  <c r="U28" i="71" s="1"/>
  <c r="C27" i="71"/>
  <c r="D79" i="71"/>
  <c r="C78" i="71"/>
  <c r="D78" i="71" s="1"/>
  <c r="AZ101" i="3"/>
  <c r="AZ38" i="3"/>
  <c r="N65" i="71"/>
  <c r="N66" i="71"/>
  <c r="T32" i="71"/>
  <c r="D32" i="71"/>
  <c r="AZ190" i="3"/>
  <c r="AZ294" i="3"/>
  <c r="AZ257" i="3"/>
  <c r="AA25" i="37"/>
  <c r="S25" i="37"/>
  <c r="AZ460" i="3"/>
  <c r="AZ418" i="3"/>
  <c r="AC23" i="35"/>
  <c r="W23" i="35"/>
  <c r="E26" i="43"/>
  <c r="H26" i="43"/>
  <c r="D83" i="71"/>
  <c r="C82" i="71"/>
  <c r="D82" i="71" s="1"/>
  <c r="O65" i="71"/>
  <c r="D66" i="71"/>
  <c r="O66" i="71"/>
  <c r="AZ59" i="3"/>
  <c r="AZ25" i="3"/>
  <c r="C56" i="71"/>
  <c r="D55" i="71"/>
  <c r="AZ297" i="3"/>
  <c r="AZ241" i="3"/>
  <c r="AZ72" i="3"/>
  <c r="AZ150" i="3"/>
  <c r="AZ459" i="3"/>
  <c r="AZ435" i="3"/>
  <c r="AZ425" i="3"/>
  <c r="AB9" i="34"/>
  <c r="U9" i="34"/>
  <c r="W12" i="35"/>
  <c r="AC12" i="35"/>
  <c r="G5" i="3"/>
  <c r="B3" i="3" s="1"/>
  <c r="E212" i="3" s="1"/>
  <c r="C40" i="71"/>
  <c r="D39" i="71"/>
  <c r="C44" i="71"/>
  <c r="D43" i="71"/>
  <c r="C86" i="71"/>
  <c r="D86" i="71" s="1"/>
  <c r="D87" i="71"/>
  <c r="AZ256" i="3"/>
  <c r="AZ67" i="3"/>
  <c r="AZ265" i="3"/>
  <c r="AZ457" i="3"/>
  <c r="AZ415" i="3"/>
  <c r="AZ398" i="3"/>
  <c r="W12" i="34"/>
  <c r="AC12" i="34"/>
  <c r="G16" i="1"/>
  <c r="F10" i="39" s="1"/>
  <c r="AA10" i="39" s="1"/>
  <c r="C70" i="71"/>
  <c r="D70" i="71" s="1"/>
  <c r="D71" i="71"/>
  <c r="C36" i="71"/>
  <c r="D35" i="71"/>
  <c r="AZ102" i="3"/>
  <c r="D60" i="71"/>
  <c r="T60" i="71"/>
  <c r="T52" i="71"/>
  <c r="D52" i="71"/>
  <c r="AZ130" i="3"/>
  <c r="AZ244" i="3"/>
  <c r="AZ239" i="3"/>
  <c r="AZ197" i="3"/>
  <c r="AZ251" i="3"/>
  <c r="AZ247" i="3"/>
  <c r="AZ62" i="3"/>
  <c r="AZ273" i="3"/>
  <c r="AZ461" i="3"/>
  <c r="AZ454" i="3"/>
  <c r="AZ421" i="3"/>
  <c r="AZ414" i="3"/>
  <c r="U23" i="35"/>
  <c r="AB23" i="35"/>
  <c r="AC9" i="33"/>
  <c r="W9" i="33"/>
  <c r="J7" i="37"/>
  <c r="K1" i="73"/>
  <c r="E510" i="3"/>
  <c r="E539" i="3"/>
  <c r="E442" i="3"/>
  <c r="E541" i="3"/>
  <c r="E491" i="3"/>
  <c r="E417" i="3"/>
  <c r="E363" i="3"/>
  <c r="E349" i="3"/>
  <c r="E467" i="3"/>
  <c r="E64" i="3"/>
  <c r="E371" i="3"/>
  <c r="E310" i="3"/>
  <c r="E184" i="3"/>
  <c r="E233" i="3"/>
  <c r="E283" i="3"/>
  <c r="E309" i="3"/>
  <c r="E332" i="3"/>
  <c r="E391" i="3"/>
  <c r="E75" i="3"/>
  <c r="E482" i="3"/>
  <c r="E129" i="3"/>
  <c r="E174" i="3"/>
  <c r="E522" i="3"/>
  <c r="E86" i="3"/>
  <c r="E251" i="3"/>
  <c r="AF6" i="3"/>
  <c r="E287" i="3"/>
  <c r="E308" i="3"/>
  <c r="E140" i="3"/>
  <c r="E197" i="3"/>
  <c r="E534" i="3"/>
  <c r="T6" i="3"/>
  <c r="E469" i="3"/>
  <c r="E512" i="3"/>
  <c r="E360" i="3"/>
  <c r="E556" i="3"/>
  <c r="E452" i="3"/>
  <c r="E470" i="3"/>
  <c r="E104" i="3"/>
  <c r="E41"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C7" i="37"/>
  <c r="W7" i="37"/>
  <c r="F7" i="33"/>
  <c r="E58" i="21"/>
  <c r="AC7" i="36"/>
  <c r="V36" i="36" s="1"/>
  <c r="I36" i="36" s="1"/>
  <c r="W7" i="36"/>
  <c r="F7" i="37"/>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74" i="15"/>
  <c r="Q61" i="15"/>
  <c r="AE11" i="1"/>
  <c r="AE9" i="1"/>
  <c r="F27" i="68"/>
  <c r="AE7" i="1"/>
  <c r="AE8" i="1"/>
  <c r="AE12" i="1"/>
  <c r="AE10" i="1"/>
  <c r="AE6" i="1"/>
  <c r="F41" i="67"/>
  <c r="C16" i="67"/>
  <c r="G1" i="73"/>
  <c r="G91" i="33" l="1"/>
  <c r="F89" i="33"/>
  <c r="AC27" i="33"/>
  <c r="W27" i="33"/>
  <c r="AA26" i="33"/>
  <c r="S26" i="33"/>
  <c r="AA27" i="33"/>
  <c r="S27" i="33"/>
  <c r="U26" i="33"/>
  <c r="AB26" i="33"/>
  <c r="AC26" i="33"/>
  <c r="W26" i="33"/>
  <c r="Q60" i="67"/>
  <c r="E115" i="3"/>
  <c r="E420" i="3"/>
  <c r="E497" i="3"/>
  <c r="E408" i="3"/>
  <c r="E405" i="3"/>
  <c r="E173" i="3"/>
  <c r="E22" i="3"/>
  <c r="E102" i="3"/>
  <c r="E34" i="3"/>
  <c r="E235" i="3"/>
  <c r="E18" i="3"/>
  <c r="AL6" i="3"/>
  <c r="AC6" i="3" s="1"/>
  <c r="E494" i="3"/>
  <c r="E68" i="3"/>
  <c r="E84" i="3"/>
  <c r="E160" i="3"/>
  <c r="E59" i="3"/>
  <c r="E95" i="3"/>
  <c r="I3" i="6"/>
  <c r="E286" i="3"/>
  <c r="E225" i="3"/>
  <c r="E26" i="3"/>
  <c r="E13" i="3"/>
  <c r="E451" i="3"/>
  <c r="E456" i="3"/>
  <c r="E525" i="3"/>
  <c r="E205" i="3"/>
  <c r="E113" i="3"/>
  <c r="E206" i="3"/>
  <c r="E383" i="3"/>
  <c r="E96" i="3"/>
  <c r="E42" i="3"/>
  <c r="E198" i="3"/>
  <c r="E63" i="3"/>
  <c r="E67" i="3"/>
  <c r="E267" i="3"/>
  <c r="E409" i="3"/>
  <c r="E192" i="3"/>
  <c r="AP6" i="3"/>
  <c r="E575" i="3"/>
  <c r="E281" i="3"/>
  <c r="E513" i="3"/>
  <c r="E81" i="3"/>
  <c r="E355" i="3"/>
  <c r="E33" i="3"/>
  <c r="E492" i="3"/>
  <c r="E249" i="3"/>
  <c r="E46" i="3"/>
  <c r="E484" i="3"/>
  <c r="E389" i="3"/>
  <c r="E258" i="3"/>
  <c r="E56" i="3"/>
  <c r="E554" i="3"/>
  <c r="E430" i="3"/>
  <c r="R6" i="3"/>
  <c r="E536" i="3"/>
  <c r="E21" i="3"/>
  <c r="E264" i="3"/>
  <c r="E381" i="3"/>
  <c r="E144" i="3"/>
  <c r="E23" i="3"/>
  <c r="E300" i="3"/>
  <c r="E103" i="3"/>
  <c r="E425" i="3"/>
  <c r="E76" i="3"/>
  <c r="E241" i="3"/>
  <c r="E37" i="3"/>
  <c r="E435" i="3"/>
  <c r="E449" i="3"/>
  <c r="E502" i="3"/>
  <c r="E199" i="3"/>
  <c r="S10" i="39"/>
  <c r="J10" i="39"/>
  <c r="W10" i="39" s="1"/>
  <c r="F10" i="40"/>
  <c r="S10" i="40" s="1"/>
  <c r="H10" i="39"/>
  <c r="U10" i="39" s="1"/>
  <c r="Q74" i="67"/>
  <c r="Q52" i="67"/>
  <c r="F67" i="39"/>
  <c r="U7" i="36"/>
  <c r="H10" i="40"/>
  <c r="AB10" i="40" s="1"/>
  <c r="J10" i="40"/>
  <c r="AC10" i="40" s="1"/>
  <c r="D44" i="71"/>
  <c r="T44" i="71"/>
  <c r="D56" i="71"/>
  <c r="T56" i="71"/>
  <c r="E544" i="3"/>
  <c r="E292" i="3"/>
  <c r="E152" i="3"/>
  <c r="E479" i="3"/>
  <c r="E517" i="3"/>
  <c r="E255" i="3"/>
  <c r="E466" i="3"/>
  <c r="E499" i="3"/>
  <c r="D36" i="71"/>
  <c r="T36" i="71"/>
  <c r="T40" i="71"/>
  <c r="D40" i="71"/>
  <c r="E3" i="6"/>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H91" i="33" l="1"/>
  <c r="I91" i="33" s="1"/>
  <c r="J91" i="33" s="1"/>
  <c r="K91" i="33" s="1"/>
  <c r="L91" i="33" s="1"/>
  <c r="M91" i="33" s="1"/>
  <c r="G89" i="33"/>
  <c r="V2" i="43"/>
  <c r="C6" i="69"/>
  <c r="C7" i="69" s="1"/>
  <c r="F22" i="68"/>
  <c r="C44" i="68" s="1"/>
  <c r="D41" i="68" s="1"/>
  <c r="U10" i="40"/>
  <c r="D116" i="43"/>
  <c r="AB10" i="39"/>
  <c r="F25" i="12"/>
  <c r="C26" i="12" s="1"/>
  <c r="D25" i="12" s="1"/>
  <c r="F22" i="11"/>
  <c r="C44" i="11" s="1"/>
  <c r="D41" i="11" s="1"/>
  <c r="W10" i="40"/>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34" i="69"/>
  <c r="C17" i="67"/>
  <c r="C17" i="15"/>
  <c r="C14" i="67"/>
  <c r="F41" i="68" l="1"/>
  <c r="C26" i="68"/>
  <c r="D22" i="68" s="1"/>
  <c r="C23" i="68"/>
  <c r="C23" i="11"/>
  <c r="C25" i="11"/>
  <c r="C24" i="11"/>
  <c r="C26" i="11"/>
  <c r="D22" i="11"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D2" i="21"/>
  <c r="C56"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C19" i="9"/>
  <c r="D2" i="36"/>
  <c r="L51" i="15"/>
  <c r="D2" i="34"/>
  <c r="D2" i="35"/>
  <c r="D2" i="37"/>
  <c r="D102" i="9" l="1"/>
  <c r="D21" i="9"/>
  <c r="C102" i="9"/>
  <c r="C21" i="9"/>
  <c r="G19" i="9"/>
  <c r="G21" i="9" s="1"/>
  <c r="D22"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C20" i="9"/>
  <c r="AO12" i="1"/>
  <c r="AO8" i="1"/>
  <c r="AO11" i="1"/>
  <c r="AO6" i="1"/>
  <c r="AO7" i="1"/>
  <c r="AO9" i="1"/>
  <c r="AO10" i="1"/>
  <c r="D103" i="9" l="1"/>
  <c r="C103" i="9"/>
  <c r="G20" i="9"/>
  <c r="C32" i="9" s="1"/>
  <c r="C35" i="9" s="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E118" i="9" s="1"/>
  <c r="H118" i="9" l="1"/>
  <c r="H119" i="9" s="1"/>
  <c r="H5" i="52" s="1"/>
  <c r="D118" i="9"/>
  <c r="E4" i="52"/>
  <c r="B48" i="72" s="1"/>
  <c r="H4" i="52"/>
  <c r="I4" i="52"/>
  <c r="C105" i="9"/>
  <c r="H102" i="9"/>
  <c r="C104" i="9"/>
  <c r="F118" i="9"/>
  <c r="H101" i="9" l="1"/>
  <c r="H107" i="9"/>
  <c r="D45" i="9"/>
  <c r="D5" i="53"/>
  <c r="M48" i="9"/>
  <c r="D7" i="53"/>
  <c r="B21" i="72" s="1"/>
  <c r="C5" i="74"/>
  <c r="F119" i="9"/>
  <c r="F5" i="52" s="1"/>
  <c r="B53" i="72" s="1"/>
  <c r="F4" i="52"/>
  <c r="B51" i="72" s="1"/>
  <c r="D4" i="52"/>
  <c r="B47" i="72" s="1"/>
  <c r="D119" i="9"/>
  <c r="D5" i="52" s="1"/>
  <c r="B49" i="72" s="1"/>
  <c r="B20" i="72" l="1"/>
  <c r="D6" i="53"/>
  <c r="B22" i="72" s="1"/>
  <c r="C85" i="9"/>
  <c r="C93" i="9"/>
  <c r="C86" i="9" s="1"/>
  <c r="D52" i="9"/>
  <c r="C64" i="9"/>
  <c r="C63" i="9" s="1"/>
  <c r="C67" i="9" s="1"/>
  <c r="D55" i="9"/>
  <c r="M53" i="9" s="1"/>
  <c r="C72" i="9"/>
  <c r="C79" i="9" s="1"/>
  <c r="C78" i="9"/>
  <c r="C73" i="9" s="1"/>
  <c r="D53" i="9"/>
  <c r="D13" i="53"/>
  <c r="H108" i="9"/>
  <c r="D122" i="9"/>
  <c r="M49" i="9"/>
  <c r="C80" i="9" l="1"/>
  <c r="E80" i="9" s="1"/>
  <c r="E81" i="9" s="1"/>
  <c r="C81" i="9"/>
  <c r="C95" i="9"/>
  <c r="D15" i="53"/>
  <c r="B31" i="72" s="1"/>
  <c r="C6" i="74"/>
  <c r="B30" i="72"/>
  <c r="D14" i="53"/>
  <c r="B32" i="72" s="1"/>
  <c r="L67" i="9"/>
  <c r="M67" i="9" s="1"/>
  <c r="L68" i="9"/>
  <c r="M68" i="9" s="1"/>
  <c r="L63" i="9"/>
  <c r="M63" i="9" s="1"/>
  <c r="L64" i="9"/>
  <c r="M64" i="9" s="1"/>
  <c r="L65" i="9"/>
  <c r="M65" i="9" s="1"/>
  <c r="L66" i="9"/>
  <c r="M66" i="9" s="1"/>
  <c r="C68" i="9"/>
  <c r="D54" i="9" s="1"/>
  <c r="D48" i="9" s="1"/>
  <c r="M52" i="9" s="1"/>
  <c r="D59" i="9"/>
  <c r="M55" i="9" s="1"/>
  <c r="D123" i="9"/>
  <c r="D9" i="52" s="1"/>
  <c r="D8" i="52"/>
  <c r="C96" i="9" l="1"/>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<sst xmlns="http://schemas.openxmlformats.org/spreadsheetml/2006/main" count="7953" uniqueCount="3499">
  <si>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</si>
  <si>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</si>
  <si>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</si>
  <si>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</si>
  <si>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</si>
  <si>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</si>
  <si>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</si>
  <si>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</si>
  <si>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</si>
  <si>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</si>
  <si>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</si>
  <si>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</si>
  <si>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</si>
  <si>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</si>
  <si>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</si>
  <si>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</si>
  <si>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</si>
  <si>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</si>
  <si>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</si>
  <si>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</si>
  <si>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</si>
  <si>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</si>
  <si>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</si>
  <si>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</si>
  <si>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</si>
  <si>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</si>
  <si>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</si>
  <si>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</si>
  <si>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</si>
  <si>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</si>
  <si>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</si>
  <si>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</si>
  <si>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</si>
  <si>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</si>
  <si>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</si>
  <si>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</si>
  <si>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</si>
  <si>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</si>
  <si>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</si>
  <si>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</si>
  <si>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</si>
  <si>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</si>
  <si>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</si>
  <si>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</si>
  <si>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</si>
  <si>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</si>
  <si>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</si>
  <si>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</si>
  <si>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</si>
  <si>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</si>
  <si>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</si>
  <si>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</si>
  <si>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</si>
  <si>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</si>
  <si>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</si>
  <si>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</si>
  <si>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</si>
  <si>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</si>
  <si>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</si>
  <si>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</si>
  <si>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</si>
  <si>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</si>
  <si>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</si>
  <si>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</si>
  <si>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</si>
  <si>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</si>
  <si>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</si>
  <si>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</si>
  <si>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</si>
  <si>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</si>
  <si>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</si>
  <si>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</si>
  <si>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</si>
  <si>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</si>
  <si>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</si>
  <si>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</si>
  <si>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</si>
  <si>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</si>
  <si>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</si>
  <si>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</si>
  <si>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</si>
  <si>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</si>
  <si>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</si>
  <si>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</si>
  <si>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</si>
  <si>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</si>
  <si>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</si>
  <si>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</si>
  <si>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</si>
  <si>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</si>
  <si>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</si>
  <si>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</si>
  <si>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</si>
  <si>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</si>
  <si>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</si>
  <si>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</si>
  <si>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</si>
  <si>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</si>
  <si>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</si>
  <si>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</si>
  <si>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</si>
  <si>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</si>
  <si>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</si>
  <si>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</si>
  <si>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</si>
  <si>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</si>
  <si>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</si>
  <si>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</si>
  <si>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</si>
  <si>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</si>
  <si>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</si>
  <si>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</si>
  <si>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</si>
  <si>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</si>
  <si>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</si>
  <si>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</si>
  <si>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</si>
  <si>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</si>
  <si>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</si>
  <si>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</si>
  <si>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</si>
  <si>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</si>
  <si>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</si>
  <si>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</si>
  <si>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</si>
  <si>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</si>
  <si>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</si>
  <si>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</si>
  <si>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</si>
  <si>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</si>
  <si>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</si>
  <si>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</si>
  <si>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</si>
  <si>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</si>
  <si>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</si>
  <si>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</si>
  <si>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</si>
  <si>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</si>
  <si>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</si>
  <si>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</si>
  <si>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</si>
  <si>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</si>
  <si>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</si>
  <si>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</si>
  <si>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</si>
  <si>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</si>
  <si>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</si>
  <si>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</si>
  <si>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</si>
  <si>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</si>
  <si>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</si>
  <si>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</si>
  <si>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</si>
  <si>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</si>
  <si>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</si>
  <si>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</si>
  <si>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</si>
  <si>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</si>
  <si>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</si>
  <si>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</si>
  <si>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</si>
  <si>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</si>
  <si>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</si>
  <si>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</si>
  <si>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</si>
  <si>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</si>
  <si>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</si>
  <si>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</si>
  <si>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</si>
  <si>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</si>
  <si>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</si>
  <si>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</si>
  <si>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</si>
  <si>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</si>
  <si>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</si>
  <si>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</si>
  <si>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</si>
  <si>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</si>
  <si>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</si>
  <si>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</si>
  <si>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</si>
  <si>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</si>
  <si>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</si>
  <si>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</si>
  <si>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</si>
  <si>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</si>
  <si>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</si>
  <si>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</si>
  <si>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</si>
  <si>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</si>
  <si>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</si>
  <si>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</si>
  <si>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</si>
  <si>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</si>
  <si>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</si>
  <si>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</si>
  <si>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</si>
  <si>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</si>
  <si>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</si>
  <si>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</si>
  <si>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</si>
  <si>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</si>
  <si>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</si>
  <si>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</si>
  <si>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</si>
  <si>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</si>
  <si>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</si>
  <si>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</si>
  <si>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</si>
  <si>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</si>
  <si>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</si>
  <si>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</si>
  <si>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</si>
  <si>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</si>
  <si>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</si>
  <si>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</si>
  <si>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</si>
  <si>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</si>
  <si>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</si>
  <si>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</si>
  <si>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</si>
  <si>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</si>
  <si>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</si>
  <si>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</si>
  <si>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</si>
  <si>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</si>
  <si>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</si>
  <si>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</si>
  <si>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</si>
  <si>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</si>
  <si>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</si>
  <si>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</si>
  <si>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</si>
  <si>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</si>
  <si>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</si>
  <si>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</si>
  <si>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</si>
  <si>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</si>
  <si>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</si>
  <si>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</si>
  <si>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</si>
  <si>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</si>
  <si>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</si>
  <si>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</si>
  <si>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</si>
  <si>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</si>
  <si>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</si>
  <si>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</si>
  <si>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</si>
  <si>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</si>
  <si>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</si>
  <si>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</si>
  <si>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</si>
  <si>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</si>
  <si>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</si>
  <si>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</si>
  <si>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</si>
  <si>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</si>
  <si>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</si>
  <si>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</si>
  <si>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</si>
  <si>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</si>
  <si>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</si>
  <si>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</si>
  <si>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</si>
  <si>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</si>
  <si>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</si>
  <si>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</si>
  <si>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</si>
  <si>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</si>
  <si>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</si>
  <si>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</si>
  <si>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</si>
  <si>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</si>
  <si>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</si>
  <si>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</si>
  <si>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</si>
  <si>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</si>
  <si>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</si>
  <si>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</si>
  <si>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</si>
  <si>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</si>
  <si>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</si>
  <si>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</si>
  <si>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</si>
  <si>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</si>
  <si>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</si>
  <si>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</si>
  <si>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</si>
  <si>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</si>
  <si>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</si>
  <si>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</si>
  <si>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</si>
  <si>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</si>
  <si>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</si>
  <si>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</si>
  <si>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</si>
  <si>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</si>
  <si>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</si>
  <si>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</si>
  <si>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</si>
  <si>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</si>
  <si>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</si>
  <si>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</si>
  <si>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</si>
  <si>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</si>
  <si>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</si>
  <si>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</si>
  <si>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</si>
  <si>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</si>
  <si>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</si>
  <si>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</si>
  <si>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</si>
  <si>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</si>
  <si>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</si>
  <si>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</si>
  <si>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</si>
  <si>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</si>
  <si>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</si>
  <si>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</si>
  <si>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</si>
  <si>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</si>
  <si>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</si>
  <si>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</si>
  <si>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</si>
  <si>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</si>
  <si>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</si>
  <si>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</si>
  <si>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</si>
  <si>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</si>
  <si>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</si>
  <si>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</si>
  <si>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</si>
  <si>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</si>
  <si>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</si>
  <si>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</si>
  <si>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</si>
  <si>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</si>
  <si>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</si>
  <si>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</si>
  <si>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</si>
  <si>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</si>
  <si>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</si>
  <si>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</si>
  <si>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</si>
  <si>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</si>
  <si>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</si>
  <si>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</si>
  <si>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</si>
  <si>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</si>
  <si>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</si>
  <si>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</si>
  <si>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</si>
  <si>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</si>
  <si>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</si>
  <si>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</si>
  <si>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</si>
  <si>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</si>
  <si>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</si>
  <si>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</si>
  <si>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</si>
  <si>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</si>
  <si>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</si>
  <si>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</si>
  <si>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</si>
  <si>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</si>
  <si>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</si>
  <si>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</si>
  <si>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</si>
  <si>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</si>
  <si>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</si>
  <si>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</si>
  <si>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</si>
  <si>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</si>
  <si>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</si>
  <si>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</si>
  <si>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</si>
  <si>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</si>
  <si>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</si>
  <si>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</si>
  <si>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</si>
  <si>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</si>
  <si>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</si>
  <si>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</si>
  <si>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</si>
  <si>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</si>
  <si>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</si>
  <si>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</si>
  <si>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</si>
  <si>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</si>
  <si>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</si>
  <si>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</si>
  <si>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</si>
  <si>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</si>
  <si>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</si>
  <si>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</si>
  <si>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</si>
  <si>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</si>
  <si>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</si>
  <si>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</si>
  <si>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</si>
  <si>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</si>
  <si>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</si>
  <si>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</si>
  <si>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</si>
  <si>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</si>
  <si>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</si>
  <si>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</si>
  <si>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</si>
  <si>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</si>
  <si>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</si>
  <si>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</si>
  <si>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</si>
  <si>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</si>
  <si>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</si>
  <si>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</si>
  <si>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</si>
  <si>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</si>
  <si>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</si>
  <si>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</si>
  <si>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</si>
  <si>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</si>
  <si>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</si>
  <si>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</si>
  <si>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</si>
  <si>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</si>
  <si>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</si>
  <si>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</si>
  <si>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</si>
  <si>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</si>
  <si>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</si>
  <si>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</si>
  <si>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</si>
  <si>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</si>
  <si>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</si>
  <si>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</si>
  <si>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</si>
  <si>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</si>
  <si>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</si>
  <si>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</si>
  <si>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</si>
  <si>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</si>
  <si>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</si>
  <si>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</si>
  <si>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</si>
  <si>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</si>
  <si>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</si>
  <si>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</si>
  <si>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</si>
  <si>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</si>
  <si>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</si>
  <si>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</si>
  <si>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</si>
  <si>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</si>
  <si>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</si>
  <si>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</si>
  <si>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</si>
  <si>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</si>
  <si>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</si>
  <si>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</si>
  <si>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</si>
  <si>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</si>
  <si>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</si>
  <si>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</si>
  <si>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</si>
  <si>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</si>
  <si>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</si>
  <si>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</si>
  <si>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</si>
  <si>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</si>
  <si>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</si>
  <si>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</si>
  <si>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</si>
  <si>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</si>
  <si>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</si>
  <si>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</si>
  <si>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</si>
  <si>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</si>
  <si>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</si>
  <si>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</si>
  <si>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</si>
  <si>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</si>
  <si>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</si>
  <si>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</si>
  <si>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</si>
  <si>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</si>
  <si>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</si>
  <si>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</si>
  <si>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</si>
  <si>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</si>
  <si>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</si>
  <si>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</si>
  <si>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</si>
  <si>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</si>
  <si>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</si>
  <si>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</si>
  <si>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</si>
  <si>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</si>
  <si>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</si>
  <si>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</si>
  <si>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</si>
  <si>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</si>
  <si>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</si>
  <si>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</si>
  <si>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</si>
  <si>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</si>
  <si>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</si>
  <si>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</si>
  <si>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</si>
  <si>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</si>
  <si>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</si>
  <si>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</si>
  <si>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</si>
  <si>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</si>
  <si>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</si>
  <si>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</si>
  <si>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</si>
  <si>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</si>
  <si>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</si>
  <si>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</si>
  <si>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</si>
  <si>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</si>
  <si>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</si>
  <si>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</si>
  <si>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</si>
  <si>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</si>
  <si>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</si>
  <si>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</si>
  <si>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</si>
  <si>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</si>
  <si>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</si>
  <si>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</si>
  <si>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</si>
  <si>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</si>
  <si>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</si>
  <si>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</si>
  <si>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</si>
  <si>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</si>
  <si>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</si>
  <si>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</si>
  <si>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</si>
  <si>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</si>
  <si>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</si>
  <si>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</si>
  <si>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</si>
  <si>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</si>
  <si>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</si>
  <si>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</si>
  <si>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</si>
  <si>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</si>
  <si>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</si>
  <si>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</si>
  <si>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</si>
  <si>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</si>
  <si>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</si>
  <si>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</si>
  <si>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</si>
  <si>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</si>
  <si>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</si>
  <si>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</si>
  <si>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</si>
  <si>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</si>
  <si>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</si>
  <si>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</si>
  <si>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</si>
  <si>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</si>
  <si>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</si>
  <si>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</si>
  <si>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</si>
  <si>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</si>
  <si>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</si>
  <si>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</si>
  <si>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</si>
  <si>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</si>
  <si>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</si>
  <si>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</si>
  <si>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</si>
  <si>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</si>
  <si>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</si>
  <si>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</si>
  <si>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</si>
  <si>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</si>
  <si>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</si>
  <si>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</si>
  <si>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</si>
  <si>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</si>
  <si>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</si>
  <si>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</si>
  <si>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</si>
  <si>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</si>
  <si>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</si>
  <si>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</si>
  <si>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</si>
  <si>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</si>
  <si>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</si>
  <si>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</si>
  <si>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</si>
  <si>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</si>
  <si>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</si>
  <si>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</si>
  <si>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</si>
  <si>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</si>
  <si>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</si>
  <si>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</si>
  <si>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</si>
  <si>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</si>
  <si>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</si>
  <si>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</si>
  <si>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</si>
  <si>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</si>
  <si>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</si>
  <si>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</si>
  <si>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</si>
  <si>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</si>
  <si>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</si>
  <si>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</si>
  <si>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</si>
  <si>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</si>
  <si>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</si>
  <si>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</si>
  <si>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</si>
  <si>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</si>
  <si>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</si>
  <si>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</si>
  <si>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</si>
  <si>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</si>
  <si>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</si>
  <si>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</si>
  <si>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</si>
  <si>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</si>
  <si>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</si>
  <si>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</si>
  <si>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</si>
  <si>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</si>
  <si>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</si>
  <si>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</si>
  <si>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</si>
  <si>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</si>
  <si>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</si>
  <si>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</si>
  <si>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</si>
  <si>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</si>
  <si>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</si>
  <si>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</si>
  <si>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</si>
  <si>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</si>
  <si>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</si>
  <si>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</si>
  <si>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</si>
  <si>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</si>
  <si>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</si>
  <si>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</si>
  <si>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</si>
  <si>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</si>
  <si>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</si>
  <si>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</si>
  <si>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</si>
  <si>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</si>
  <si>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</si>
  <si>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</si>
  <si>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</si>
  <si>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</si>
  <si>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</si>
  <si>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</si>
  <si>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</si>
  <si>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</si>
  <si>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</si>
  <si>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</si>
  <si>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</si>
  <si>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</si>
  <si>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</si>
  <si>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</si>
  <si>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</si>
  <si>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</si>
  <si>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</si>
  <si>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</si>
  <si>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</si>
  <si>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</si>
  <si>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</si>
  <si>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</si>
  <si>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</si>
  <si>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</si>
  <si>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</si>
  <si>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</si>
  <si>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</si>
  <si>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</si>
  <si>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</si>
  <si>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</si>
  <si>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</si>
  <si>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</si>
  <si>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</si>
  <si>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</si>
  <si>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</si>
  <si>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</si>
  <si>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</si>
  <si>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</si>
  <si>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</si>
  <si>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</si>
  <si>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</si>
  <si>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</si>
  <si>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</si>
  <si>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</si>
  <si>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</si>
  <si>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</si>
  <si>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</si>
  <si>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</si>
  <si>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</si>
  <si>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</si>
  <si>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</si>
  <si>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</si>
  <si>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</si>
  <si>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</si>
  <si>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</si>
  <si>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</si>
  <si>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</si>
  <si>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</si>
  <si>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</si>
  <si>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</si>
  <si>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</si>
  <si>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</si>
  <si>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</si>
  <si>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</si>
  <si>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</si>
  <si>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</si>
  <si>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</si>
  <si>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</si>
  <si>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</si>
  <si>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</si>
  <si>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</si>
  <si>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</si>
  <si>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</si>
  <si>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</si>
  <si>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</si>
  <si>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</si>
  <si>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</si>
  <si>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</si>
  <si>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</si>
  <si>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</si>
  <si>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</si>
  <si>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</si>
  <si>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</si>
  <si>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</si>
  <si>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</si>
  <si>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</si>
  <si>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</si>
  <si>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</si>
  <si>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</si>
  <si>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</si>
  <si>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</si>
  <si>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</si>
  <si>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</si>
  <si>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</si>
  <si>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</si>
  <si>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</si>
  <si>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</si>
  <si>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</si>
  <si>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</si>
  <si>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</si>
  <si>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</si>
  <si>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</si>
  <si>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</si>
  <si>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</si>
  <si>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</si>
  <si>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</si>
  <si>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</si>
  <si>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</si>
  <si>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</si>
  <si>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</si>
  <si>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</si>
  <si>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</si>
  <si>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</si>
  <si>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</si>
  <si>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</si>
  <si>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</si>
  <si>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</si>
  <si>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</si>
  <si>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</si>
  <si>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</si>
  <si>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</si>
  <si>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</si>
  <si>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</si>
  <si>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</si>
  <si>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</si>
  <si>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</si>
  <si>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</si>
  <si>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</si>
  <si>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</si>
  <si>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</si>
  <si>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</si>
  <si>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</si>
  <si>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</si>
  <si>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</si>
  <si>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</si>
  <si>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</si>
  <si>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</si>
  <si>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</si>
  <si>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</si>
  <si>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</si>
  <si>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</si>
  <si>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</si>
  <si>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</si>
  <si>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</si>
  <si>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</si>
  <si>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</si>
  <si>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</si>
  <si>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</si>
  <si>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</si>
  <si>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</si>
  <si>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</si>
  <si>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</si>
  <si>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</si>
  <si>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</si>
  <si>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</si>
  <si>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</si>
  <si>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</si>
  <si>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</si>
  <si>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</si>
  <si>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</si>
  <si>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</si>
  <si>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</si>
  <si>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</si>
  <si>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</si>
  <si>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</si>
  <si>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</si>
  <si>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</si>
  <si>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</si>
  <si>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</si>
  <si>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</si>
  <si>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</si>
  <si>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</si>
  <si>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</si>
  <si>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</si>
  <si>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</si>
  <si>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</si>
  <si>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</si>
  <si>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</si>
  <si>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</si>
  <si>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</si>
  <si>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</si>
  <si>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</si>
  <si>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</si>
  <si>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</si>
  <si>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</si>
  <si>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</si>
  <si>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</si>
  <si>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</si>
  <si>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</si>
  <si>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</si>
  <si>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</si>
  <si>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</si>
  <si>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</si>
  <si>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</si>
  <si>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</si>
  <si>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</si>
  <si>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</si>
  <si>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</si>
  <si>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</si>
  <si>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</si>
  <si>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</si>
  <si>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</si>
  <si>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</si>
  <si>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</si>
  <si>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</si>
  <si>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</si>
  <si>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</si>
  <si>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</si>
  <si>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</si>
  <si>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</si>
  <si>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</si>
  <si>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</si>
  <si>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</si>
  <si>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</si>
  <si>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</si>
  <si>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</si>
  <si>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</si>
  <si>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</si>
  <si>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</si>
  <si>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</si>
  <si>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</si>
  <si>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</si>
  <si>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</si>
  <si>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</si>
  <si>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</si>
  <si>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</si>
  <si>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</si>
  <si>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</si>
  <si>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</si>
  <si>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</si>
  <si>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</si>
  <si>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</si>
  <si>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</si>
  <si>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</si>
  <si>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</si>
  <si>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</si>
  <si>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</si>
  <si>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</si>
  <si>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</si>
  <si>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</si>
  <si>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</si>
  <si>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</si>
  <si>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</si>
  <si>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</si>
  <si>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</si>
  <si>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</si>
  <si>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</si>
  <si>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</si>
  <si>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</si>
  <si>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</si>
  <si>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</si>
  <si>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</si>
  <si>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</si>
  <si>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</si>
  <si>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</si>
  <si>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</si>
  <si>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</si>
  <si>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</si>
  <si>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</si>
  <si>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</si>
  <si>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</si>
  <si>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</si>
  <si>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</si>
  <si>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</si>
  <si>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</si>
  <si>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</si>
  <si>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</si>
  <si>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</si>
  <si>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</si>
  <si>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</si>
  <si>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</si>
  <si>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</si>
  <si>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</si>
  <si>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</si>
  <si>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</si>
  <si>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</si>
  <si>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</si>
  <si>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</si>
  <si>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</si>
  <si>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</si>
  <si>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</si>
  <si>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</si>
  <si>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</si>
  <si>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</si>
  <si>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</si>
  <si>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</si>
  <si>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</si>
  <si>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</si>
  <si>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</si>
  <si>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</si>
  <si>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</si>
  <si>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</si>
  <si>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</si>
  <si>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</si>
  <si>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</si>
  <si>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</si>
  <si>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</si>
  <si>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</si>
  <si>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</si>
  <si>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</si>
  <si>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</si>
  <si>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</si>
  <si>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</si>
  <si>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</si>
  <si>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</si>
  <si>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</si>
  <si>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</si>
  <si>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</si>
  <si>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</si>
  <si>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</si>
  <si>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</si>
  <si>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</si>
  <si>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</si>
  <si>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</si>
  <si>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</si>
  <si>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</si>
  <si>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</si>
  <si>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</si>
  <si>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</si>
  <si>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</si>
  <si>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</si>
  <si>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</si>
  <si>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</si>
  <si>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</si>
  <si>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</si>
  <si>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</si>
  <si>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</si>
  <si>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</si>
  <si>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</si>
  <si>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</si>
  <si>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</si>
  <si>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</si>
  <si>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</si>
  <si>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</si>
  <si>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</si>
  <si>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</si>
  <si>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</si>
  <si>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</si>
  <si>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</si>
  <si>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</si>
  <si>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</si>
  <si>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</si>
  <si>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</si>
  <si>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</si>
  <si>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</si>
  <si>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</si>
  <si>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</si>
  <si>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</si>
  <si>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</si>
  <si>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</si>
  <si>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</si>
  <si>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</si>
  <si>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</si>
  <si>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</si>
  <si>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</si>
  <si>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</si>
  <si>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</si>
  <si>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</si>
  <si>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</si>
  <si>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</si>
  <si>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</si>
  <si>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</si>
  <si>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</si>
  <si>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</si>
  <si>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</si>
  <si>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</si>
  <si>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</si>
  <si>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</si>
  <si>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</si>
  <si>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</si>
  <si>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</si>
  <si>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</si>
  <si>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</si>
  <si>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</si>
  <si>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</si>
  <si>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</si>
  <si>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</si>
  <si>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</si>
  <si>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</si>
  <si>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</si>
  <si>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</si>
  <si>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</si>
  <si>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</si>
  <si>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</si>
  <si>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</si>
  <si>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</si>
  <si>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</si>
  <si>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</si>
  <si>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</si>
  <si>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</si>
  <si>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</si>
  <si>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</si>
  <si>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</si>
  <si>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</si>
  <si>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</si>
  <si>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</si>
  <si>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</si>
  <si>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</si>
  <si>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</si>
  <si>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</si>
  <si>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</si>
  <si>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</si>
  <si>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</si>
  <si>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</si>
  <si>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</si>
  <si>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</si>
  <si>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</si>
  <si>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</si>
  <si>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</si>
  <si>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</si>
  <si>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</si>
  <si>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</si>
  <si>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</si>
  <si>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</si>
  <si>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</si>
  <si>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</si>
  <si>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</si>
  <si>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</si>
  <si>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</si>
  <si>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</si>
  <si>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</si>
  <si>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</si>
  <si>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</si>
  <si>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</si>
  <si>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</si>
  <si>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</si>
  <si>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</si>
  <si>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</si>
  <si>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</si>
  <si>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</si>
  <si>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</si>
  <si>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</si>
  <si>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</si>
  <si>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</si>
  <si>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</si>
  <si>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</si>
  <si>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</si>
  <si>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</si>
  <si>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</si>
  <si>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</si>
  <si>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</si>
  <si>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</si>
  <si>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</si>
  <si>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</si>
  <si>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</si>
  <si>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</si>
  <si>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</si>
  <si>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</si>
  <si>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</si>
  <si>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</si>
  <si>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</si>
  <si>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</si>
  <si>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</si>
  <si>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</si>
  <si>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</si>
  <si>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</si>
  <si>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</si>
  <si>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</si>
  <si>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</si>
  <si>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</si>
  <si>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</si>
  <si>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</si>
  <si>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</si>
  <si>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</si>
  <si>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</si>
  <si>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</si>
  <si>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</si>
  <si>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</si>
  <si>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</si>
  <si>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</si>
  <si>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</si>
  <si>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</si>
  <si>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</si>
  <si>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</si>
  <si>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</si>
  <si>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</si>
  <si>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</si>
  <si>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</si>
  <si>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</si>
  <si>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</si>
  <si>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</si>
  <si>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</si>
  <si>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</si>
  <si>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</si>
  <si>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</si>
  <si>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</si>
  <si>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</si>
  <si>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</si>
  <si>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</si>
  <si>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</si>
  <si>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</si>
  <si>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</si>
  <si>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</si>
  <si>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</si>
  <si>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</si>
  <si>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</si>
  <si>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</si>
  <si>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</si>
  <si>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</si>
  <si>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</si>
  <si>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</si>
  <si>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</si>
  <si>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</si>
  <si>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</si>
  <si>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</si>
  <si>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</si>
  <si>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</si>
  <si>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</si>
  <si>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</si>
  <si>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</si>
  <si>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</si>
  <si>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</si>
  <si>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</si>
  <si>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</si>
  <si>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</si>
  <si>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</si>
  <si>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</si>
  <si>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</si>
  <si>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</si>
  <si>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</si>
  <si>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</si>
  <si>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</si>
  <si>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</si>
  <si>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</si>
  <si>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</si>
  <si>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</si>
  <si>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</si>
  <si>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</si>
  <si>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</si>
  <si>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</si>
  <si>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</si>
  <si>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</si>
  <si>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</si>
  <si>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</si>
  <si>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</si>
  <si>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</si>
  <si>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</si>
  <si>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</si>
  <si>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</si>
  <si>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</si>
  <si>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</si>
  <si>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</si>
  <si>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</si>
  <si>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</si>
  <si>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</si>
  <si>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</si>
  <si>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</si>
  <si>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</si>
  <si>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</si>
  <si>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</si>
  <si>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</si>
  <si>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</si>
  <si>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</si>
  <si>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</si>
  <si>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</si>
  <si>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</si>
  <si>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</si>
  <si>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</si>
  <si>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</si>
  <si>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</si>
  <si>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</si>
  <si>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</si>
  <si>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</si>
  <si>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</si>
  <si>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</si>
  <si>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</si>
  <si>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</si>
  <si>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</si>
  <si>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</si>
  <si>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</si>
  <si>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</si>
  <si>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</si>
  <si>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</si>
  <si>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</si>
  <si>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</si>
  <si>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</si>
  <si>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</si>
  <si>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</si>
  <si>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</si>
  <si>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</si>
  <si>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</si>
  <si>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</si>
  <si>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</si>
  <si>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</si>
  <si>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</si>
  <si>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</si>
  <si>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</si>
  <si>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</si>
  <si>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</si>
  <si>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</si>
  <si>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</si>
  <si>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</si>
  <si>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</si>
  <si>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</si>
  <si>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</si>
  <si>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</si>
  <si>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</si>
  <si>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</si>
  <si>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</si>
  <si>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</si>
  <si>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</si>
  <si>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</si>
  <si>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</si>
  <si>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</si>
  <si>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</si>
  <si>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</si>
  <si>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</si>
  <si>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</si>
  <si>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</si>
  <si>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</si>
  <si>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</si>
  <si>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</si>
  <si>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</si>
  <si>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</si>
  <si>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</si>
  <si>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</si>
  <si>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</si>
  <si>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</si>
  <si>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</si>
  <si>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</si>
  <si>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</si>
  <si>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</si>
  <si>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</si>
  <si>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</si>
  <si>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</si>
  <si>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</si>
  <si>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</si>
  <si>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</si>
  <si>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</si>
  <si>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</si>
  <si>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</si>
  <si>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</si>
  <si>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</si>
  <si>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</si>
  <si>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</si>
  <si>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</si>
  <si>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</si>
  <si>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</si>
  <si>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</si>
  <si>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</si>
  <si>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</si>
  <si>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</si>
  <si>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</si>
  <si>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</si>
  <si>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</si>
  <si>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</si>
  <si>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</si>
  <si>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</si>
  <si>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</si>
  <si>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</si>
  <si>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</si>
  <si>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</si>
  <si>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</si>
  <si>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</si>
  <si>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</si>
  <si>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</si>
  <si>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</si>
  <si>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</si>
  <si>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</si>
  <si>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</si>
  <si>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</si>
  <si>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</si>
  <si>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</si>
  <si>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</si>
  <si>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</si>
  <si>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</si>
  <si>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</si>
  <si>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</si>
  <si>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</si>
  <si>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</si>
  <si>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</si>
  <si>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</si>
  <si>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</si>
  <si>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</si>
  <si>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</si>
  <si>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</si>
  <si>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</si>
  <si>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</si>
  <si>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</si>
  <si>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</si>
  <si>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</si>
  <si>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</si>
  <si>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</si>
  <si>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</si>
  <si>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</si>
  <si>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</si>
  <si>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</si>
  <si>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</si>
  <si>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</si>
  <si>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</si>
  <si>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</si>
  <si>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</si>
  <si>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</si>
  <si>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</si>
  <si>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</si>
  <si>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</si>
  <si>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</si>
  <si>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</si>
  <si>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</si>
  <si>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</si>
  <si>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</si>
  <si>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</si>
  <si>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</si>
  <si>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</si>
  <si>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</si>
  <si>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</si>
  <si>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</si>
  <si>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</si>
  <si>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</si>
  <si>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</si>
  <si>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</si>
  <si>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</si>
  <si>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</si>
  <si>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</si>
  <si>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</si>
  <si>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</si>
  <si>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</si>
  <si>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</si>
  <si>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</si>
  <si>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</si>
  <si>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</si>
  <si>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</si>
  <si>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</si>
  <si>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</si>
  <si>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</si>
  <si>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</si>
  <si>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</si>
  <si>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</si>
  <si>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</si>
  <si>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</si>
  <si>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</si>
  <si>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</si>
  <si>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</si>
  <si>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</si>
  <si>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</si>
  <si>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</si>
  <si>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</si>
  <si>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</si>
  <si>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</si>
  <si>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</si>
  <si>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</si>
  <si>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</si>
  <si>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</si>
  <si>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</si>
  <si>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</si>
  <si>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</si>
  <si>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</si>
  <si>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</si>
  <si>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</si>
  <si>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</si>
  <si>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</si>
  <si>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</si>
  <si>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</si>
  <si>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</si>
  <si>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</si>
  <si>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</si>
  <si>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</si>
  <si>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</si>
  <si>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</si>
  <si>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</si>
  <si>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</si>
  <si>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</si>
  <si>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</si>
  <si>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</si>
  <si>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</si>
  <si>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</si>
  <si>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</si>
  <si>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</si>
  <si>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</si>
  <si>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</si>
  <si>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</si>
  <si>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</si>
  <si>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</si>
  <si>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</si>
  <si>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</si>
  <si>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</si>
  <si>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</si>
  <si>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</si>
  <si>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</si>
  <si>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</si>
  <si>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</si>
  <si>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</si>
  <si>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</si>
  <si>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</si>
  <si>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</si>
  <si>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</si>
  <si>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</si>
  <si>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</si>
  <si>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</si>
  <si>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</si>
  <si>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</si>
  <si>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</si>
  <si>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</si>
  <si>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</si>
  <si>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</si>
  <si>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</si>
  <si>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</si>
  <si>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</si>
  <si>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</si>
  <si>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</si>
  <si>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</si>
  <si>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</si>
  <si>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</si>
  <si>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</si>
  <si>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</si>
  <si>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</si>
  <si>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</si>
  <si>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</si>
  <si>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</si>
  <si>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</si>
  <si>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</si>
  <si>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</si>
  <si>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</si>
  <si>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</si>
  <si>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</si>
  <si>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</si>
  <si>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</si>
  <si>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</si>
  <si>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</si>
  <si>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</si>
  <si>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</si>
  <si>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</si>
  <si>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</si>
  <si>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</si>
  <si>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</si>
  <si>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</si>
  <si>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</si>
  <si>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</si>
  <si>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</si>
  <si>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</si>
  <si>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</si>
  <si>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</si>
  <si>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</si>
  <si>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</si>
  <si>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</si>
  <si>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</si>
  <si>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</si>
  <si>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</si>
  <si>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</si>
  <si>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</si>
  <si>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</si>
  <si>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</si>
  <si>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</si>
  <si>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</si>
  <si>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</si>
  <si>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</si>
  <si>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</si>
  <si>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</si>
  <si>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</si>
  <si>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</si>
  <si>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</si>
  <si>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</si>
  <si>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</si>
  <si>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</si>
  <si>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</si>
  <si>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</si>
  <si>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</si>
  <si>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</si>
  <si>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</si>
  <si>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</si>
  <si>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</si>
  <si>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</si>
  <si>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</si>
  <si>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</si>
  <si>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</si>
  <si>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</si>
  <si>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</si>
  <si>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</si>
  <si>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</si>
  <si>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</si>
  <si>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</si>
  <si>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</si>
  <si>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</si>
  <si>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</si>
  <si>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</si>
  <si>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</si>
  <si>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</si>
  <si>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</si>
  <si>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</si>
  <si>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</si>
  <si>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</si>
  <si>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</si>
  <si>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</si>
  <si>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</si>
  <si>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</si>
  <si>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</si>
  <si>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</si>
  <si>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</si>
  <si>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</si>
  <si>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</si>
  <si>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</si>
  <si>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</si>
  <si>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</si>
  <si>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</si>
  <si>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</si>
  <si>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</si>
  <si>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</si>
  <si>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</si>
  <si>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</si>
  <si>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</si>
  <si>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</si>
  <si>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</si>
  <si>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</si>
  <si>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</si>
  <si>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</si>
  <si>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</si>
  <si>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</si>
  <si>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</si>
  <si>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</si>
  <si>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</si>
  <si>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</si>
  <si>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</si>
  <si>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</si>
  <si>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</si>
  <si>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</si>
  <si>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</si>
  <si>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</si>
  <si>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</si>
  <si>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</si>
  <si>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</si>
  <si>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</si>
  <si>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</si>
  <si>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</si>
  <si>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</si>
  <si>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</si>
  <si>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</si>
  <si>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</si>
  <si>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</si>
  <si>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</si>
  <si>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</si>
  <si>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</si>
  <si>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</si>
  <si>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</si>
  <si>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</si>
  <si>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</si>
  <si>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</si>
  <si>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</si>
  <si>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</si>
  <si>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</si>
  <si>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</si>
  <si>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</si>
  <si>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</si>
  <si>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</si>
  <si>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</si>
  <si>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</si>
  <si>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</si>
  <si>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</si>
  <si>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</si>
  <si>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</si>
  <si>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</si>
  <si>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</si>
  <si>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</si>
  <si>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</si>
  <si>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</si>
  <si>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</si>
  <si>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</si>
  <si>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</si>
  <si>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</si>
  <si>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</si>
  <si>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</si>
  <si>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</si>
  <si>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</si>
  <si>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</si>
  <si>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</si>
  <si>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</si>
  <si>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</si>
  <si>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</si>
  <si>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</si>
  <si>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</si>
  <si>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</si>
  <si>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</si>
  <si>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</si>
  <si>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</si>
  <si>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</si>
  <si>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</si>
  <si>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</si>
  <si>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</si>
  <si>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</si>
  <si>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</si>
  <si>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</si>
  <si>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</si>
  <si>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</si>
  <si>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</si>
  <si>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</si>
  <si>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</si>
  <si>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</si>
  <si>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</si>
  <si>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</si>
  <si>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</si>
  <si>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</si>
  <si>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</si>
  <si>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</si>
  <si>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</si>
  <si>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</si>
  <si>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</si>
  <si>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</si>
  <si>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</si>
  <si>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</si>
  <si>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</si>
  <si>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</si>
  <si>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</si>
  <si>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</si>
  <si>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</si>
  <si>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</si>
  <si>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</si>
  <si>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</si>
  <si>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</si>
  <si>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</si>
  <si>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</si>
  <si>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</si>
  <si>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</si>
  <si>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</si>
  <si>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</si>
  <si>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</si>
  <si>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</si>
  <si>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</si>
  <si>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</si>
  <si>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</si>
  <si>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</si>
  <si>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</si>
  <si>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</si>
  <si>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</si>
  <si>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</si>
  <si>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</si>
  <si>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</si>
  <si>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</si>
  <si>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</si>
  <si>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</si>
  <si>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</si>
  <si>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</si>
  <si>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</si>
  <si>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</si>
  <si>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</si>
  <si>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</si>
  <si>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</si>
  <si>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</si>
  <si>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</si>
  <si>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</si>
  <si>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</si>
  <si>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</si>
  <si>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</si>
  <si>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</si>
  <si>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</si>
  <si>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</si>
  <si>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</si>
  <si>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</si>
  <si>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</si>
  <si>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</si>
  <si>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</si>
  <si>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</si>
  <si>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</si>
  <si>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</si>
  <si>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</si>
  <si>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</si>
  <si>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</si>
  <si>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</si>
  <si>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</si>
  <si>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</si>
  <si>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</si>
  <si>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</si>
  <si>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</si>
  <si>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</si>
  <si>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</si>
  <si>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</si>
  <si>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</si>
  <si>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</si>
  <si>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</si>
  <si>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</si>
  <si>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</si>
  <si>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</si>
  <si>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</si>
  <si>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</si>
  <si>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</si>
  <si>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</si>
  <si>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</si>
  <si>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</si>
  <si>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</si>
  <si>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</si>
  <si>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</si>
  <si>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</si>
  <si>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</si>
  <si>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</si>
  <si>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</si>
  <si>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</si>
  <si>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</si>
  <si>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</si>
  <si>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</si>
  <si>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</si>
  <si>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</si>
  <si>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</si>
  <si>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</si>
  <si>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</si>
  <si>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</si>
  <si>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</si>
  <si>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</si>
  <si>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</si>
  <si>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</si>
  <si>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</si>
  <si>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</si>
  <si>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</si>
  <si>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</si>
  <si>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</si>
  <si>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</si>
  <si>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</si>
  <si>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</si>
  <si>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</si>
  <si>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</si>
  <si>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</si>
  <si>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</si>
  <si>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</si>
  <si>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</si>
  <si>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</si>
  <si>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</si>
  <si>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</si>
  <si>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</si>
  <si>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</si>
  <si>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</si>
  <si>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</si>
  <si>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</si>
  <si>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</si>
  <si>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</si>
  <si>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</si>
  <si>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</si>
  <si>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</si>
  <si>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</si>
  <si>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</si>
  <si>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</si>
  <si>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</si>
  <si>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</si>
  <si>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</si>
  <si>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</si>
  <si>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</si>
  <si>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</si>
  <si>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</si>
  <si>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</si>
  <si>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</si>
  <si>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</si>
  <si>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</si>
  <si>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</si>
  <si>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</si>
  <si>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</si>
  <si>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</si>
  <si>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</si>
  <si>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</si>
  <si>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</si>
  <si>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</si>
  <si>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</si>
  <si>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</si>
  <si>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</si>
  <si>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</si>
  <si>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</si>
  <si>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</si>
  <si>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</si>
  <si>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</si>
  <si>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</si>
  <si>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</si>
  <si>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</si>
  <si>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</si>
  <si>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</si>
  <si>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</si>
  <si>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</si>
  <si>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</si>
  <si>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</si>
  <si>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</si>
  <si>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</si>
  <si>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</si>
  <si>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</si>
  <si>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</si>
  <si>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</si>
  <si>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</si>
  <si>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</si>
  <si>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</si>
  <si>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</si>
  <si>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</si>
  <si>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</si>
  <si>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</si>
  <si>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</si>
  <si>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</si>
  <si>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</si>
  <si>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</si>
  <si>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</si>
  <si>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</si>
  <si>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</si>
  <si>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</si>
  <si>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</si>
  <si>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</si>
  <si>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</si>
  <si>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</si>
  <si>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</si>
  <si>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</si>
  <si>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</si>
  <si>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</si>
  <si>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</si>
  <si>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</si>
  <si>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</si>
  <si>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</si>
  <si>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</si>
  <si>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</si>
  <si>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</si>
  <si>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</si>
  <si>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</si>
  <si>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</si>
  <si>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</si>
  <si>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</si>
  <si>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</si>
  <si>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</si>
  <si>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</si>
  <si>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</si>
  <si>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</si>
  <si>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</si>
  <si>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</si>
  <si>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</si>
  <si>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</si>
  <si>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</si>
  <si>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</si>
  <si>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</si>
  <si>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</si>
  <si>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</si>
  <si>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</si>
  <si>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</si>
  <si>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</si>
  <si>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</si>
  <si>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</si>
  <si>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</si>
  <si>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</si>
  <si>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</si>
  <si>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</si>
  <si>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</si>
  <si>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</si>
  <si>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</si>
  <si>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</si>
  <si>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</si>
  <si>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</si>
  <si>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</si>
  <si>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</si>
  <si>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</si>
  <si>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</si>
  <si>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</si>
  <si>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</si>
  <si>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</si>
  <si>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</si>
  <si>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</si>
  <si>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</si>
  <si>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</si>
  <si>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</si>
  <si>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</si>
  <si>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</si>
  <si>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</si>
  <si>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</si>
  <si>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</si>
  <si>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</si>
  <si>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</si>
  <si>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</si>
  <si>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</si>
  <si>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</si>
  <si>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</si>
  <si>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</si>
  <si>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</si>
  <si>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</si>
  <si>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</si>
  <si>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</si>
  <si>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</si>
  <si>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</si>
  <si>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</si>
  <si>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</si>
  <si>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</si>
  <si>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</si>
  <si>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</si>
  <si>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</si>
  <si>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</si>
  <si>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</si>
  <si>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</si>
  <si>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</si>
  <si>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</si>
  <si>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</si>
  <si>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</si>
  <si>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</si>
  <si>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</si>
  <si>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</si>
  <si>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</si>
  <si>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</si>
  <si>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</si>
  <si>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</si>
  <si>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</si>
  <si>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</si>
  <si>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</si>
  <si>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</si>
  <si>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</si>
  <si>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</si>
  <si>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</si>
  <si>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</si>
  <si>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</si>
  <si>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</si>
  <si>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</si>
  <si>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</si>
  <si>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</si>
  <si>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</si>
  <si>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</si>
  <si>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</si>
  <si>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</si>
  <si>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</si>
  <si>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</si>
  <si>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</si>
  <si>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</si>
  <si>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</si>
  <si>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</si>
  <si>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</si>
  <si>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</si>
  <si>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</si>
  <si>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</si>
  <si>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</si>
  <si>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</si>
  <si>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</si>
  <si>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</si>
  <si>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</si>
  <si>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</si>
  <si>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</si>
  <si>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</si>
  <si>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</si>
  <si>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</si>
  <si>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</si>
  <si>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</si>
  <si>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</si>
  <si>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</si>
  <si>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</si>
  <si>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</si>
  <si>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</si>
  <si>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</si>
  <si>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</si>
  <si>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</si>
  <si>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</si>
  <si>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</si>
  <si>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</si>
  <si>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</si>
  <si>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</si>
  <si>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</si>
  <si>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</si>
  <si>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</si>
  <si>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</si>
  <si>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</si>
  <si>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</si>
  <si>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</si>
  <si>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</si>
  <si>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</si>
  <si>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</si>
  <si>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</si>
  <si>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</si>
  <si>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</si>
  <si>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</si>
  <si>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</si>
  <si>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</si>
  <si>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</si>
  <si>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</si>
  <si>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</si>
  <si>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</si>
  <si>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</si>
  <si>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</si>
  <si>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</si>
  <si>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</si>
  <si>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</si>
  <si>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</si>
  <si>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</si>
  <si>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</si>
  <si>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</si>
  <si>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</si>
  <si>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</si>
  <si>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</si>
  <si>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</si>
  <si>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</si>
  <si>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</si>
  <si>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</si>
  <si>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</si>
  <si>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</si>
  <si>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</si>
  <si>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</si>
  <si>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</si>
  <si>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</si>
  <si>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</si>
  <si>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</si>
  <si>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</si>
  <si>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</si>
  <si>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</si>
  <si>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</si>
  <si>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</si>
  <si>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</si>
  <si>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</si>
  <si>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</si>
  <si>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</si>
  <si>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</si>
  <si>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</si>
  <si>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</si>
  <si>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</si>
  <si>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</si>
  <si>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</si>
  <si>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</si>
  <si>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</si>
  <si>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</si>
  <si>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</si>
  <si>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</si>
  <si>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</si>
  <si>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</si>
  <si>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</si>
  <si>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</si>
  <si>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</si>
  <si>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</si>
  <si>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</si>
  <si>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</si>
  <si>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</si>
  <si>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</si>
  <si>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</si>
  <si>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</si>
  <si>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</si>
  <si>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</si>
  <si>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</si>
  <si>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</si>
  <si>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</si>
  <si>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</si>
  <si>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</si>
  <si>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</si>
  <si>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</si>
  <si>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</si>
  <si>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</si>
  <si>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</si>
  <si>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</si>
  <si>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</si>
  <si>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</si>
  <si>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</si>
  <si>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</si>
  <si>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</si>
  <si>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</si>
  <si>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</si>
  <si>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</si>
  <si>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</si>
  <si>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</si>
  <si>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</si>
  <si>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</si>
  <si>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</si>
  <si>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</si>
  <si>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</si>
  <si>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</si>
  <si>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</si>
  <si>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</si>
  <si>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</si>
  <si>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</si>
  <si>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</si>
  <si>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</si>
  <si>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</si>
  <si>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</si>
  <si>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</si>
  <si>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</si>
  <si>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</si>
  <si>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</si>
  <si>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</si>
  <si>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</si>
  <si>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</si>
  <si>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</si>
  <si>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</si>
  <si>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</si>
  <si>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</si>
  <si>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</si>
  <si>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</si>
  <si>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</si>
  <si>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</si>
  <si>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</si>
  <si>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</si>
  <si>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</si>
  <si>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</si>
  <si>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</si>
  <si>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</si>
  <si>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</si>
  <si>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</si>
  <si>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</si>
  <si>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</si>
  <si>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</si>
  <si>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</si>
  <si>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</si>
  <si>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</si>
  <si>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</si>
  <si>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</si>
  <si>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</si>
  <si>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</si>
  <si>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</si>
  <si>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</si>
  <si>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</si>
  <si>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</si>
  <si>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</si>
  <si>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</si>
  <si>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</si>
  <si>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</si>
  <si>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</si>
  <si>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</si>
  <si>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</si>
  <si>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</si>
  <si>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</si>
  <si>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</si>
  <si>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</si>
  <si>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</si>
  <si>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</si>
  <si>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</si>
  <si>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</si>
  <si>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</si>
  <si>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</si>
  <si>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</si>
  <si>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</si>
  <si>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</si>
  <si>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</si>
  <si>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</si>
  <si>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</si>
  <si>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</si>
  <si>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</si>
  <si>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</si>
  <si>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</si>
  <si>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</si>
  <si>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</si>
  <si>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</si>
  <si>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</si>
  <si>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</si>
  <si>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</si>
  <si>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</si>
  <si>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</si>
  <si>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</si>
  <si>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</si>
  <si>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</si>
  <si>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</si>
  <si>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</si>
  <si>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</si>
  <si>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</si>
  <si>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</si>
  <si>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</si>
  <si>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</si>
  <si>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</si>
  <si>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</si>
  <si>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</si>
  <si>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</si>
  <si>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</si>
  <si>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</si>
  <si>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</si>
  <si>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</si>
  <si>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</si>
  <si>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</si>
  <si>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</si>
  <si>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</si>
  <si>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</si>
  <si>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</si>
  <si>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</si>
  <si>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</si>
  <si>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</si>
  <si>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</si>
  <si>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</si>
  <si>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</si>
  <si>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</si>
  <si>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</si>
  <si>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</si>
  <si>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</si>
  <si>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</si>
  <si>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</si>
  <si>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</si>
  <si>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</si>
  <si>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</si>
  <si>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</si>
  <si>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</si>
  <si>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</si>
  <si>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</si>
  <si>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</si>
  <si>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</si>
  <si>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</si>
  <si>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</si>
  <si>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</si>
  <si>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</si>
  <si>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</si>
  <si>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</si>
  <si>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</si>
  <si>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</si>
  <si>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</si>
  <si>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</si>
  <si>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</si>
  <si>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</si>
  <si>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</si>
  <si>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</si>
  <si>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</si>
  <si>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</si>
  <si>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</si>
  <si>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</si>
  <si>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</si>
  <si>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</si>
  <si>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</si>
  <si>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</si>
  <si>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</si>
  <si>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</si>
  <si>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</si>
  <si>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</si>
  <si>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</si>
  <si>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</si>
  <si>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</si>
  <si>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</si>
  <si>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</si>
  <si>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</si>
  <si>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</si>
  <si>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</si>
  <si>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</si>
  <si>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</si>
  <si>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</si>
  <si>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</si>
  <si>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</si>
  <si>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</si>
  <si>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</si>
  <si>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</si>
  <si>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</si>
  <si>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</si>
  <si>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</si>
  <si>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</si>
  <si>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</si>
  <si>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</si>
  <si>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</si>
  <si>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</si>
  <si>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</si>
  <si>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</si>
  <si>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</si>
  <si>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</si>
  <si>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</si>
  <si>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</si>
  <si>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</si>
  <si>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</si>
  <si>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</si>
  <si>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</si>
  <si>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</si>
  <si>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</si>
  <si>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</si>
  <si>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</si>
  <si>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</si>
  <si>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</si>
  <si>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</si>
  <si>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</si>
  <si>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</si>
  <si>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</si>
  <si>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</si>
  <si>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</si>
  <si>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</si>
  <si>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</si>
  <si>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</si>
  <si>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</si>
  <si>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</si>
  <si>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</si>
  <si>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</si>
  <si>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</si>
  <si>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</si>
  <si>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</si>
  <si>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</si>
  <si>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</si>
  <si>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</si>
  <si>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</si>
  <si>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</si>
  <si>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</si>
  <si>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</si>
  <si>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</si>
  <si>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</si>
  <si>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</si>
  <si>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</si>
  <si>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</si>
  <si>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</si>
  <si>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</si>
  <si>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</si>
  <si>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</si>
  <si>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</si>
  <si>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</si>
  <si>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</si>
  <si>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</si>
  <si>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</si>
  <si>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</si>
  <si>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</si>
  <si>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</si>
  <si>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</si>
  <si>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</si>
  <si>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</si>
  <si>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</si>
  <si>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</si>
  <si>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</si>
  <si>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</si>
  <si>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</si>
  <si>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</si>
  <si>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</si>
  <si>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</si>
  <si>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</si>
  <si>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</si>
  <si>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</si>
  <si>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</si>
  <si>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</si>
  <si>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</si>
  <si>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</si>
  <si>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</si>
  <si>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</si>
  <si>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</si>
  <si>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</si>
  <si>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</si>
  <si>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</si>
  <si>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</si>
  <si>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</si>
  <si>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</si>
  <si>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</si>
  <si>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</si>
  <si>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</si>
  <si>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</si>
  <si>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</si>
  <si>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</si>
  <si>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</si>
  <si>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</si>
  <si>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</si>
  <si>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</si>
  <si>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</si>
  <si>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</si>
  <si>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</si>
  <si>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</si>
  <si>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</si>
  <si>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</si>
  <si>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</si>
  <si>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</si>
  <si>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</si>
  <si>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</si>
  <si>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</si>
  <si>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</si>
  <si>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</si>
  <si>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</si>
  <si>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</si>
  <si>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</si>
  <si>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</si>
  <si>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</si>
  <si>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</si>
  <si>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</si>
  <si>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</si>
  <si>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</si>
  <si>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</si>
  <si>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</si>
  <si>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</si>
  <si>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</si>
  <si>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</si>
  <si>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</si>
  <si>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</si>
  <si>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</si>
  <si>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</si>
  <si>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</si>
  <si>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</si>
  <si>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</si>
  <si>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</si>
  <si>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</si>
  <si>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</si>
  <si>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</si>
  <si>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</si>
  <si>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</si>
  <si>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</si>
  <si>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</si>
  <si>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</si>
  <si>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</si>
  <si>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</si>
  <si>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</si>
  <si>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</si>
  <si>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</si>
  <si>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</si>
  <si>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</si>
  <si>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</si>
  <si>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</si>
  <si>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</si>
  <si>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</si>
  <si>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</si>
  <si>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</si>
  <si>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</si>
  <si>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</si>
  <si>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</si>
  <si>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</si>
  <si>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</si>
  <si>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</si>
  <si>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</si>
  <si>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</si>
  <si>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</si>
  <si>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</si>
  <si>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</si>
  <si>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</si>
  <si>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</si>
  <si>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</si>
  <si>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</si>
  <si>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</si>
  <si>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</si>
  <si>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</si>
  <si>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</si>
  <si>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</si>
  <si>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</si>
  <si>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</si>
  <si>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</si>
  <si>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</si>
  <si>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</si>
  <si>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</si>
  <si>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</si>
  <si>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</si>
  <si>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</si>
  <si>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</si>
  <si>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</si>
  <si>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</si>
  <si>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</si>
  <si>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</si>
  <si>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</si>
  <si>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</si>
  <si>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</si>
  <si>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</si>
  <si>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</si>
  <si>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</si>
  <si>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</si>
  <si>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</si>
  <si>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</si>
  <si>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</si>
  <si>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</si>
  <si>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</si>
  <si>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</si>
  <si>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</si>
  <si>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</si>
  <si>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</si>
  <si>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</si>
  <si>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</si>
  <si>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</si>
  <si>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</si>
  <si>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</si>
  <si>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</si>
  <si>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</si>
  <si>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</si>
  <si>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</si>
  <si>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</si>
  <si>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</si>
  <si>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</si>
  <si>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</si>
  <si>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</si>
  <si>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</si>
  <si>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</si>
  <si>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</si>
  <si>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</si>
  <si>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</si>
  <si>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</si>
  <si>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</si>
  <si>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</si>
  <si>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</si>
  <si>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</si>
  <si>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</si>
  <si>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</si>
  <si>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</si>
  <si>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</si>
  <si>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</si>
  <si>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</si>
  <si>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</si>
  <si>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</si>
  <si>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</si>
  <si>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</si>
  <si>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</si>
  <si>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</si>
  <si>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</si>
  <si>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</si>
  <si>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</si>
  <si>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</si>
  <si>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</si>
  <si>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</si>
  <si>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</si>
  <si>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</si>
  <si>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</si>
  <si>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</si>
  <si>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</si>
  <si>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</si>
  <si>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</si>
  <si>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</si>
  <si>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</si>
  <si>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</si>
  <si>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</si>
  <si>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</si>
  <si>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</si>
  <si>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</si>
  <si>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</si>
  <si>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</si>
  <si>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</si>
  <si>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</si>
  <si>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</si>
  <si>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</si>
  <si>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</si>
  <si>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</si>
  <si>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</si>
  <si>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</si>
  <si>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</si>
  <si>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</si>
  <si>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</si>
  <si>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</si>
  <si>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</si>
  <si>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</si>
  <si>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</si>
  <si>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</si>
  <si>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</si>
  <si>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</si>
  <si>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</si>
  <si>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</si>
  <si>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</si>
  <si>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</si>
  <si>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</si>
  <si>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</si>
  <si>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</si>
  <si>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</si>
  <si>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</si>
  <si>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</si>
  <si>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</si>
  <si>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</si>
  <si>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</si>
  <si>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</si>
  <si>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</si>
  <si>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</si>
  <si>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</si>
  <si>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</si>
  <si>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</si>
  <si>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</si>
  <si>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</si>
  <si>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</si>
  <si>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</si>
  <si>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</si>
  <si>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</si>
  <si>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</si>
  <si>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</si>
  <si>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</si>
  <si>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</si>
  <si>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</si>
  <si>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</si>
  <si>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</si>
  <si>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</si>
  <si>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</si>
  <si>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</si>
  <si>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</si>
  <si>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</si>
  <si>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</si>
  <si>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</si>
  <si>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</si>
  <si>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</si>
  <si>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</si>
  <si>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</si>
  <si>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</si>
  <si>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</si>
  <si>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</si>
  <si>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</si>
  <si>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</si>
  <si>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</si>
  <si>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</si>
  <si>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</si>
  <si>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</si>
  <si>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</si>
  <si>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</si>
  <si>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</si>
  <si>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</si>
  <si>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</si>
  <si>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</si>
  <si>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</si>
  <si>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</si>
  <si>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</si>
  <si>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</si>
  <si>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</si>
  <si>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</si>
  <si>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</si>
  <si>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</si>
  <si>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</si>
  <si>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</si>
  <si>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</si>
  <si>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</si>
  <si>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</si>
  <si>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</si>
  <si>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</si>
  <si>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</si>
  <si>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</si>
  <si>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</si>
  <si>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</si>
  <si>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</si>
  <si>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</si>
  <si>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</si>
  <si>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</si>
  <si>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</si>
  <si>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</si>
  <si>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</si>
  <si>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</si>
  <si>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</si>
  <si>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</si>
  <si>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</si>
  <si>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</si>
  <si>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</si>
  <si>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</si>
  <si>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</si>
  <si>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</si>
  <si>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</si>
  <si>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</si>
  <si>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</si>
  <si>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</si>
  <si>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</si>
  <si>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</si>
  <si>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</si>
  <si>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</si>
  <si>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</si>
  <si>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</si>
  <si>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</si>
  <si>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</si>
  <si>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</si>
  <si>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</si>
  <si>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</si>
  <si>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</si>
  <si>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</si>
  <si>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</si>
  <si>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</si>
  <si>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</si>
  <si>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</si>
  <si>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</si>
  <si>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</si>
  <si>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</si>
  <si>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</si>
  <si>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</si>
  <si>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</si>
  <si>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</si>
  <si>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</si>
  <si>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</si>
  <si>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</si>
  <si>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</si>
  <si>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</si>
  <si>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</si>
  <si>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</si>
  <si>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</si>
  <si>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</si>
  <si>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</si>
  <si>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</si>
  <si>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</si>
  <si>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</si>
  <si>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</si>
  <si>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</si>
  <si>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</si>
  <si>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</si>
  <si>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</si>
  <si>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</si>
  <si>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</si>
  <si>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</si>
  <si>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</si>
  <si>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</si>
  <si>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</si>
  <si>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</si>
  <si>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</si>
  <si>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</si>
  <si>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</si>
  <si>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</si>
  <si>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</si>
  <si>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</si>
  <si>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</si>
  <si>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</si>
  <si>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</si>
  <si>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</si>
  <si>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</si>
  <si>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</si>
  <si>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</si>
  <si>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</si>
  <si>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</si>
  <si>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</si>
  <si>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</si>
  <si>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</si>
  <si>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</si>
  <si>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</si>
  <si>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</si>
  <si>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</si>
  <si>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</si>
  <si>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</si>
  <si>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</si>
  <si>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</si>
  <si>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</si>
  <si>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</si>
  <si>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</si>
  <si>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</si>
  <si>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</si>
  <si>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</si>
  <si>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</si>
  <si>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</si>
  <si>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</si>
  <si>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</si>
  <si>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</si>
  <si>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</si>
  <si>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</si>
  <si>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</si>
  <si>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</si>
  <si>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</si>
  <si>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</si>
  <si>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</si>
  <si>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</si>
  <si>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</si>
  <si>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</si>
  <si>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</si>
  <si>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</si>
  <si>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</si>
  <si>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</si>
  <si>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</si>
  <si>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</si>
  <si>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</si>
  <si>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</si>
  <si>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</si>
  <si>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</si>
  <si>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</si>
  <si>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</si>
  <si>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</si>
  <si>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</si>
  <si>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</si>
  <si>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</si>
  <si>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</si>
  <si>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</si>
  <si>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</si>
  <si>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</si>
  <si>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</si>
  <si>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</si>
  <si>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</si>
  <si>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</si>
  <si>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</si>
  <si>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</si>
  <si>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</si>
  <si>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</si>
  <si>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</si>
  <si>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</si>
  <si>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</si>
  <si>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</si>
  <si>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</si>
  <si>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</si>
  <si>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</si>
  <si>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</si>
  <si>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</si>
  <si>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</si>
  <si>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</si>
  <si>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</si>
  <si>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</si>
  <si>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</si>
  <si>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</si>
  <si>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</si>
  <si>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</si>
  <si>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</si>
  <si>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</si>
  <si>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</si>
  <si>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</si>
  <si>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</si>
  <si>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</si>
  <si>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</si>
  <si>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</si>
  <si>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</si>
  <si>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</si>
  <si>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</si>
  <si>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</si>
  <si>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</si>
  <si>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</si>
  <si>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</si>
  <si>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</si>
  <si>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</si>
  <si>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</si>
  <si>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</si>
  <si>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</si>
  <si>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</si>
  <si>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</si>
  <si>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</si>
  <si>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</si>
  <si>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</si>
  <si>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</si>
  <si>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</si>
  <si>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</si>
  <si>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</si>
  <si>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</si>
  <si>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</si>
  <si>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</si>
  <si>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</si>
  <si>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</si>
  <si>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</si>
  <si>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</si>
  <si>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</si>
  <si>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</si>
  <si>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</si>
  <si>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</si>
  <si>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</si>
  <si>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</si>
  <si>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</si>
  <si>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</si>
  <si>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</si>
  <si>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</si>
  <si>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</si>
  <si>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</si>
  <si>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</si>
  <si>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</si>
  <si>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</si>
  <si>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</si>
  <si>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</si>
  <si>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</si>
  <si>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</si>
  <si>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</si>
  <si>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</si>
  <si>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</si>
  <si>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</si>
  <si>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</si>
  <si>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</si>
  <si>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</si>
  <si>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</si>
  <si>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</si>
  <si>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</si>
  <si>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</si>
  <si>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</si>
  <si>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</si>
  <si>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</si>
  <si>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</si>
  <si>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</si>
  <si>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</si>
  <si>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</si>
  <si>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</si>
  <si>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</si>
  <si>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</si>
  <si>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</si>
  <si>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</si>
  <si>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</si>
  <si>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</si>
  <si>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</si>
  <si>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</si>
  <si>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</si>
  <si>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</si>
  <si>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</si>
  <si>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</si>
  <si>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</si>
  <si>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</si>
  <si>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</si>
  <si>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</si>
  <si>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</si>
  <si>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</si>
  <si>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</si>
  <si>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</si>
  <si>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</si>
  <si>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</si>
  <si>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</si>
  <si>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</si>
  <si>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</si>
  <si>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</si>
  <si>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</si>
  <si>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</si>
  <si>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</si>
  <si>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</si>
  <si>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</si>
  <si>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</si>
  <si>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</si>
  <si>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</si>
  <si>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</si>
  <si>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</si>
  <si>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</si>
  <si>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</si>
  <si>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</si>
  <si>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</si>
  <si>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</si>
  <si>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</si>
  <si>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</si>
  <si>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</si>
  <si>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</si>
  <si>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</si>
  <si>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</si>
  <si>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</si>
  <si>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</si>
  <si>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</si>
  <si>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</si>
  <si>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</si>
  <si>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</si>
  <si>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</si>
  <si>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</si>
  <si>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</si>
  <si>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</si>
  <si>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</si>
  <si>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</si>
  <si>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</si>
  <si>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</si>
  <si>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</si>
  <si>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</si>
  <si>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</si>
  <si>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</si>
  <si>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</si>
  <si>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</si>
  <si>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</si>
  <si>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</si>
  <si>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</si>
  <si>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</si>
  <si>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</si>
  <si>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</si>
  <si>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</si>
  <si>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</si>
  <si>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</si>
  <si>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</si>
  <si>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</si>
  <si>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</si>
  <si>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</si>
  <si>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</si>
  <si>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</si>
  <si>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</si>
  <si>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</si>
  <si>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</si>
  <si>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</si>
  <si>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</si>
  <si>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</si>
  <si>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</si>
  <si>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</si>
  <si>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</si>
  <si>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</si>
  <si>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</si>
  <si>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</si>
  <si>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</si>
  <si>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</si>
  <si>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</si>
  <si>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</si>
  <si>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</si>
  <si>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</si>
  <si>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</si>
  <si>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</si>
  <si>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</si>
  <si>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</si>
  <si>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</si>
  <si>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</si>
  <si>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</si>
  <si>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</si>
  <si>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</si>
  <si>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</si>
  <si>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</si>
  <si>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</si>
  <si>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</si>
  <si>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</si>
  <si>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</si>
  <si>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</si>
  <si>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</si>
  <si>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</si>
  <si>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</si>
  <si>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</si>
  <si>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</si>
  <si>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</si>
  <si>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</si>
  <si>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</si>
  <si>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</si>
  <si>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</si>
  <si>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</si>
  <si>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</si>
  <si>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</si>
  <si>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</si>
  <si>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</si>
  <si>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</si>
  <si>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</si>
  <si>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</si>
  <si>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</si>
  <si>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</si>
  <si>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</si>
  <si>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</si>
  <si>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</si>
  <si>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</si>
  <si>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</si>
  <si>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</si>
  <si>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</si>
  <si>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</si>
  <si>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</si>
  <si>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</si>
  <si>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</si>
  <si>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</si>
  <si>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</si>
  <si>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</si>
  <si>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</si>
  <si>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</si>
  <si>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</si>
  <si>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</si>
  <si>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</si>
  <si>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</si>
  <si>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</si>
  <si>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</si>
  <si>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</si>
  <si>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</si>
  <si>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</si>
  <si>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</si>
  <si>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</si>
  <si>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</si>
  <si>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</si>
  <si>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</si>
  <si>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</si>
  <si>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</si>
  <si>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</si>
  <si>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</si>
  <si>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</si>
  <si>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</si>
  <si>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</si>
  <si>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</si>
  <si>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</si>
  <si>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</si>
  <si>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</si>
  <si>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</si>
  <si>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</si>
  <si>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</si>
  <si>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</si>
  <si>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</si>
  <si>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</si>
  <si>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</si>
  <si>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</si>
  <si>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</si>
  <si>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</si>
  <si>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</si>
  <si>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</si>
  <si>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</si>
  <si>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</si>
  <si>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</si>
  <si>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</si>
  <si>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</si>
  <si>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</si>
  <si>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</si>
  <si>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</si>
  <si>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</si>
  <si>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</si>
  <si>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</si>
  <si>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</si>
  <si>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</si>
  <si>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</si>
  <si>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</si>
  <si>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</si>
  <si>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</si>
  <si>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</si>
  <si>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</si>
  <si>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</si>
  <si>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</si>
  <si>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</si>
  <si>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</si>
  <si>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</si>
  <si>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</si>
  <si>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</si>
  <si>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</si>
  <si>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</si>
  <si>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</si>
  <si>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</si>
  <si>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</si>
  <si>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</si>
  <si>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</si>
  <si>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</si>
  <si>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</si>
  <si>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</si>
  <si>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</si>
  <si>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</si>
  <si>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</si>
  <si>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</si>
  <si>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</si>
  <si>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</si>
  <si>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</si>
  <si>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</si>
  <si>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</si>
  <si>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</si>
  <si>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</si>
  <si>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</si>
  <si>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</si>
  <si>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</si>
  <si>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</si>
  <si>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</si>
  <si>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</si>
  <si>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</si>
  <si>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</si>
  <si>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</si>
  <si>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</si>
  <si>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</si>
  <si>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</si>
  <si>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</si>
  <si>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</si>
  <si>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</si>
  <si>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</si>
  <si>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</si>
  <si>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</si>
  <si>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</si>
  <si>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</si>
  <si>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</si>
  <si>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</si>
  <si>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</si>
  <si>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</si>
  <si>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</si>
  <si>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</si>
  <si>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</si>
  <si>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</si>
  <si>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</si>
  <si>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</si>
  <si>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</si>
  <si>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</si>
  <si>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</si>
  <si>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</si>
  <si>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</si>
  <si>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</si>
  <si>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</si>
  <si>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</si>
  <si>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</si>
  <si>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</si>
  <si>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</si>
  <si>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</si>
  <si>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</si>
  <si>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</si>
  <si>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</si>
  <si>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</si>
  <si>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</si>
  <si>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</si>
  <si>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</si>
  <si>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</si>
  <si>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</si>
  <si>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</si>
  <si>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</si>
  <si>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</si>
  <si>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</si>
  <si>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</si>
  <si>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</si>
  <si>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</si>
  <si>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</si>
  <si>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</si>
  <si>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</si>
  <si>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</si>
  <si>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</si>
  <si>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</si>
  <si>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</si>
  <si>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</si>
  <si>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</si>
  <si>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</si>
  <si>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</si>
  <si>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</si>
  <si>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</si>
  <si>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</si>
  <si>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</si>
  <si>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</si>
  <si>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</si>
  <si>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</si>
  <si>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</si>
  <si>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</si>
  <si>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</si>
  <si>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</si>
  <si>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</si>
  <si>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</si>
  <si>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</si>
  <si>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</si>
  <si>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</si>
  <si>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</si>
  <si>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</si>
  <si>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</si>
  <si>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</si>
  <si>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</si>
  <si>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</si>
  <si>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</si>
  <si>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</si>
  <si>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</si>
  <si>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</si>
  <si>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</si>
  <si>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</si>
  <si>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</si>
  <si>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</si>
  <si>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</si>
  <si>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</si>
  <si>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</si>
  <si>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</si>
  <si>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</si>
  <si>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</si>
  <si>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</si>
  <si>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</si>
  <si>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</si>
  <si>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</si>
  <si>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</si>
  <si>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</si>
  <si>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</si>
  <si>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</si>
  <si>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</si>
  <si>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</si>
  <si>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</si>
  <si>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</si>
  <si>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</si>
  <si>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</si>
  <si>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</si>
  <si>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</si>
  <si>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</si>
  <si>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</si>
  <si>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</si>
  <si>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</si>
  <si>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</si>
  <si>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</si>
  <si>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</si>
  <si>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</si>
  <si>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</si>
  <si>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</si>
  <si>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</si>
  <si>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</si>
  <si>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</si>
  <si>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</si>
  <si>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</si>
  <si>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</si>
  <si>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</si>
  <si>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</si>
  <si>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</si>
  <si>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</si>
  <si>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</si>
  <si>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</si>
  <si>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</si>
  <si>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</si>
  <si>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</si>
  <si>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</si>
  <si>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</si>
  <si>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</si>
  <si>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</si>
  <si>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</si>
  <si>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</si>
  <si>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</si>
  <si>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</si>
  <si>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</si>
  <si>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</si>
  <si>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</si>
  <si>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</si>
  <si>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</si>
  <si>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</si>
  <si>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</si>
  <si>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</si>
  <si>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</si>
  <si>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</si>
  <si>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</si>
  <si>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</si>
  <si>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</si>
  <si>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</si>
  <si>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</si>
  <si>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</si>
  <si>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</si>
  <si>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</si>
  <si>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</si>
  <si>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</si>
  <si>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</si>
  <si>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</si>
  <si>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</si>
  <si>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</si>
  <si>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</si>
  <si>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</si>
  <si>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</si>
  <si>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</si>
  <si>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</si>
  <si>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</si>
  <si>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</si>
  <si>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</si>
  <si>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</si>
  <si>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</si>
  <si>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</si>
  <si>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</si>
  <si>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</si>
  <si>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</si>
  <si>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</si>
  <si>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</si>
  <si>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</si>
  <si>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</si>
  <si>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</si>
  <si>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</si>
  <si>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</si>
  <si>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</si>
  <si>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</si>
  <si>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</si>
  <si>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</si>
  <si>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</si>
  <si>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</si>
  <si>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</si>
  <si>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</si>
  <si>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</si>
  <si>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</si>
  <si>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</si>
  <si>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</si>
  <si>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</si>
  <si>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</si>
  <si>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</si>
  <si>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</si>
  <si>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</si>
  <si>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</si>
  <si>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</si>
  <si>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</si>
  <si>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</si>
  <si>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</si>
  <si>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</si>
  <si>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</si>
  <si>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</si>
  <si>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</si>
  <si>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</si>
  <si>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</si>
  <si>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</si>
  <si>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</si>
  <si>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</si>
  <si>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</si>
  <si>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</si>
  <si>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</si>
  <si>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</si>
  <si>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</si>
  <si>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</si>
  <si>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</si>
  <si>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</si>
  <si>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</si>
  <si>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</si>
  <si>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</si>
  <si>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</si>
  <si>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</si>
  <si>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</si>
  <si>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</si>
  <si>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</si>
  <si>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</si>
  <si>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</si>
  <si>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</si>
  <si>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</si>
  <si>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</si>
  <si>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</si>
  <si>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</si>
  <si>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</si>
  <si>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</si>
  <si>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</si>
  <si>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</si>
  <si>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</si>
  <si>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</si>
  <si>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</si>
  <si>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</si>
  <si>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</si>
  <si>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</si>
  <si>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</si>
  <si>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</si>
  <si>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</si>
  <si>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</si>
  <si>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</si>
  <si>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</si>
  <si>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</si>
  <si>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</si>
  <si>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</si>
  <si>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</si>
  <si>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</si>
  <si>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</si>
  <si>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</si>
  <si>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</si>
  <si>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</si>
  <si>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</si>
  <si>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</si>
  <si>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</si>
  <si>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</si>
  <si>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</si>
  <si>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</si>
  <si>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</si>
  <si>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</si>
  <si>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</si>
  <si>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</si>
  <si>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</si>
  <si>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</si>
  <si>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</si>
  <si>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</si>
  <si>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</si>
  <si>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</si>
  <si>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</si>
  <si>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</si>
  <si>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</si>
  <si>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</si>
  <si>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</si>
  <si>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</si>
  <si>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</si>
  <si>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</si>
  <si>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</si>
  <si>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</si>
  <si>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</si>
  <si>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</si>
  <si>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</si>
  <si>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</si>
  <si>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</si>
  <si>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</si>
  <si>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</si>
  <si>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</si>
  <si>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地上</t>
  </si>
  <si>
    <t>是</t>
  </si>
  <si>
    <t>甲21号</t>
  </si>
  <si>
    <t>甲21号</t>
    <phoneticPr fontId="7" type="noConversion"/>
  </si>
  <si>
    <t>成新度</t>
  </si>
  <si>
    <t>自定义容积率</t>
  </si>
  <si>
    <t>不临65条商业街</t>
  </si>
  <si>
    <t>与级别开发程度一致</t>
  </si>
  <si>
    <t>楼层修正</t>
  </si>
  <si>
    <t>较好</t>
  </si>
  <si>
    <t>一般</t>
  </si>
  <si>
    <t>好</t>
  </si>
  <si>
    <t>未包含在土地购买价格中</t>
  </si>
  <si>
    <t>已包含在土地取得成本中</t>
  </si>
  <si>
    <t>收益法 (元)</t>
  </si>
  <si>
    <t>押一</t>
  </si>
  <si>
    <t>砖混</t>
  </si>
  <si>
    <t>非生产用房</t>
  </si>
  <si>
    <t>单套模式</t>
  </si>
  <si>
    <t>售价</t>
  </si>
  <si>
    <t>不可餐饮</t>
  </si>
  <si>
    <t>不可餐饮</t>
    <phoneticPr fontId="134" type="noConversion"/>
  </si>
  <si>
    <t>可餐饮</t>
  </si>
  <si>
    <t>可餐饮</t>
    <phoneticPr fontId="134" type="noConversion"/>
  </si>
  <si>
    <t>挂牌</t>
  </si>
  <si>
    <t>挂牌</t>
    <phoneticPr fontId="30" type="noConversion"/>
  </si>
  <si>
    <t>正常</t>
  </si>
  <si>
    <t>商业</t>
    <phoneticPr fontId="30" type="noConversion"/>
  </si>
  <si>
    <r>
      <t>25-30</t>
    </r>
    <r>
      <rPr>
        <sz val="11"/>
        <color indexed="8"/>
        <rFont val="宋体"/>
        <family val="3"/>
        <charset val="134"/>
      </rPr>
      <t>（含）</t>
    </r>
    <phoneticPr fontId="30" type="noConversion"/>
  </si>
  <si>
    <t>蓝堡国际公寓</t>
    <phoneticPr fontId="3" type="noConversion"/>
  </si>
  <si>
    <t>甜水园东里</t>
    <phoneticPr fontId="3" type="noConversion"/>
  </si>
  <si>
    <t>水碓子东里</t>
    <phoneticPr fontId="3" type="noConversion"/>
  </si>
  <si>
    <r>
      <t>15-20</t>
    </r>
    <r>
      <rPr>
        <sz val="11"/>
        <color indexed="8"/>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</si>
  <si>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</si>
  <si>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</si>
  <si>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r>
      <t>15-20</t>
    </r>
    <r>
      <rPr>
        <sz val="11"/>
        <rFont val="宋体"/>
        <family val="3"/>
        <charset val="134"/>
      </rPr>
      <t>（含）</t>
    </r>
    <phoneticPr fontId="30" type="noConversion"/>
  </si>
  <si>
    <t>建筑面积</t>
  </si>
  <si>
    <t>成交价</t>
  </si>
  <si>
    <t>万</t>
  </si>
  <si>
    <t>成交单价</t>
  </si>
  <si>
    <t>租赁合同1</t>
  </si>
  <si>
    <t>租赁合同2</t>
  </si>
  <si>
    <t>市场租金</t>
  </si>
  <si>
    <t>承租面积</t>
  </si>
  <si>
    <t>押金</t>
  </si>
  <si>
    <t>七通</t>
  </si>
  <si>
    <t>多面</t>
    <phoneticPr fontId="30" type="noConversion"/>
  </si>
  <si>
    <t>双面</t>
    <phoneticPr fontId="30" type="noConversion"/>
  </si>
  <si>
    <t>单面</t>
  </si>
  <si>
    <t>单面</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</si>
  <si>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</si>
  <si>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</si>
  <si>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</si>
  <si>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</si>
  <si>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</si>
  <si>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</si>
  <si>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</si>
  <si>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</si>
  <si>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</si>
  <si>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</si>
  <si>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</si>
  <si>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</si>
  <si>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rFont val="宋体"/>
        <family val="3"/>
        <charset val="134"/>
      </rPr>
      <t>层</t>
    </r>
    <phoneticPr fontId="30" type="noConversion"/>
  </si>
  <si>
    <r>
      <t>1-2</t>
    </r>
    <r>
      <rPr>
        <sz val="11"/>
        <color indexed="10"/>
        <rFont val="宋体"/>
        <family val="3"/>
        <charset val="134"/>
      </rPr>
      <t>层</t>
    </r>
    <phoneticPr fontId="30" type="noConversion"/>
  </si>
  <si>
    <r>
      <t>1-2</t>
    </r>
    <r>
      <rPr>
        <sz val="11"/>
        <color indexed="8"/>
        <rFont val="宋体"/>
        <family val="3"/>
        <charset val="134"/>
      </rPr>
      <t>层</t>
    </r>
    <phoneticPr fontId="30" type="noConversion"/>
  </si>
  <si>
    <t>住宅配套商业</t>
  </si>
  <si>
    <t>住宅配套商业</t>
    <phoneticPr fontId="30" type="noConversion"/>
  </si>
  <si>
    <t>钢混</t>
  </si>
  <si>
    <t>钢混</t>
    <phoneticPr fontId="30" type="noConversion"/>
  </si>
  <si>
    <t>精装</t>
    <phoneticPr fontId="30" type="noConversion"/>
  </si>
  <si>
    <t>可餐饮</t>
    <phoneticPr fontId="30" type="noConversion"/>
  </si>
  <si>
    <t>不可餐饮</t>
    <phoneticPr fontId="30" type="noConversion"/>
  </si>
  <si>
    <t>超高层高</t>
    <phoneticPr fontId="30" type="noConversion"/>
  </si>
  <si>
    <t>标准层高</t>
  </si>
  <si>
    <t>标准层高</t>
    <phoneticPr fontId="30" type="noConversion"/>
  </si>
  <si>
    <t>普装</t>
  </si>
  <si>
    <t>普装</t>
    <phoneticPr fontId="30" type="noConversion"/>
  </si>
  <si>
    <t>简装</t>
  </si>
  <si>
    <t>简装</t>
    <phoneticPr fontId="30" type="noConversion"/>
  </si>
  <si>
    <t>毛坯</t>
    <phoneticPr fontId="30" type="noConversion"/>
  </si>
  <si>
    <t>1-2层</t>
  </si>
  <si>
    <t>砖混</t>
    <phoneticPr fontId="30" type="noConversion"/>
  </si>
  <si>
    <t>比较法-商业</t>
  </si>
  <si>
    <t>成本法 (元)</t>
  </si>
  <si>
    <t>楼面单价</t>
  </si>
  <si>
    <t>成本比率</t>
  </si>
  <si>
    <t>情况4</t>
  </si>
  <si>
    <t>转让取得</t>
  </si>
  <si>
    <t>非个人房产</t>
  </si>
  <si>
    <t>买卖合同</t>
  </si>
  <si>
    <t>2016年5月1日后购买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</si>
</sst>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9" fillId="5" borderId="1" xfId="0" applyFont="1" applyFill="1" applyBorder="1" applyAlignment="1" applyProtection="1">
      <alignment horizontal="left" vertical="center" wrapText="1"/>
      <protection locked="0"/>
    </xf>
    <xf numFmtId="0" fontId="271" fillId="0" borderId="0" xfId="0" applyFont="1" applyAlignment="1">
      <alignment horizontal="lef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71" fillId="0" borderId="0" xfId="10" applyFont="1" applyAlignment="1">
      <alignment horizontal="left" vertical="center"/>
    </xf>
    <xf numFmtId="14" fontId="271" fillId="0" borderId="0" xfId="10" applyNumberFormat="1" applyFont="1" applyAlignment="1">
      <alignment horizontal="left" vertical="center"/>
    </xf>
    <xf numFmtId="0" fontId="271" fillId="5" borderId="0" xfId="10" applyFont="1" applyFill="1" applyAlignment="1">
      <alignment horizontal="left" vertical="center"/>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xdr:row>
      <xdr:rowOff>171450</xdr:rowOff>
    </xdr:from>
    <xdr:to>
      <xdr:col>17</xdr:col>
      <xdr:colOff>636697</xdr:colOff>
      <xdr:row>32</xdr:row>
      <xdr:rowOff>85034</xdr:rowOff>
    </xdr:to>
    <xdr:pic>
      <xdr:nvPicPr>
        <xdr:cNvPr id="2" name="图片 1">
          <a:extLst>
            <a:ext uri="{FF2B5EF4-FFF2-40B4-BE49-F238E27FC236}">
              <a16:creationId xmlns:a16="http://schemas.microsoft.com/office/drawing/2014/main" id="{F5D1139F-C72D-0DBB-766F-63A05C123B8E}"/>
            </a:ext>
          </a:extLst>
        </xdr:cNvPr>
        <xdr:cNvPicPr>
          <a:picLocks noChangeAspect="1"/>
        </xdr:cNvPicPr>
      </xdr:nvPicPr>
      <xdr:blipFill>
        <a:blip xmlns:r="http://schemas.openxmlformats.org/officeDocument/2006/relationships" r:embed="rId1"/>
        <a:stretch>
          <a:fillRect/>
        </a:stretch>
      </xdr:blipFill>
      <xdr:spPr>
        <a:xfrm>
          <a:off x="476250" y="352425"/>
          <a:ext cx="11819047" cy="5523809"/>
        </a:xfrm>
        <a:prstGeom prst="rect">
          <a:avLst/>
        </a:prstGeom>
      </xdr:spPr>
    </xdr:pic>
    <xdr:clientData/>
  </xdr:twoCellAnchor>
  <xdr:twoCellAnchor editAs="oneCell">
    <xdr:from>
      <xdr:col>1</xdr:col>
      <xdr:colOff>342900</xdr:colOff>
      <xdr:row>33</xdr:row>
      <xdr:rowOff>123825</xdr:rowOff>
    </xdr:from>
    <xdr:to>
      <xdr:col>11</xdr:col>
      <xdr:colOff>561090</xdr:colOff>
      <xdr:row>48</xdr:row>
      <xdr:rowOff>9200</xdr:rowOff>
    </xdr:to>
    <xdr:pic>
      <xdr:nvPicPr>
        <xdr:cNvPr id="3" name="图片 2">
          <a:extLst>
            <a:ext uri="{FF2B5EF4-FFF2-40B4-BE49-F238E27FC236}">
              <a16:creationId xmlns:a16="http://schemas.microsoft.com/office/drawing/2014/main" id="{9A98AE5D-5AEE-087F-D46E-9F99E2BDE0B0}"/>
            </a:ext>
          </a:extLst>
        </xdr:cNvPr>
        <xdr:cNvPicPr>
          <a:picLocks noChangeAspect="1"/>
        </xdr:cNvPicPr>
      </xdr:nvPicPr>
      <xdr:blipFill>
        <a:blip xmlns:r="http://schemas.openxmlformats.org/officeDocument/2006/relationships" r:embed="rId2"/>
        <a:stretch>
          <a:fillRect/>
        </a:stretch>
      </xdr:blipFill>
      <xdr:spPr>
        <a:xfrm>
          <a:off x="1028700" y="6096000"/>
          <a:ext cx="7076190" cy="2600000"/>
        </a:xfrm>
        <a:prstGeom prst="rect">
          <a:avLst/>
        </a:prstGeom>
      </xdr:spPr>
    </xdr:pic>
    <xdr:clientData/>
  </xdr:twoCellAnchor>
  <xdr:twoCellAnchor editAs="oneCell">
    <xdr:from>
      <xdr:col>1</xdr:col>
      <xdr:colOff>0</xdr:colOff>
      <xdr:row>50</xdr:row>
      <xdr:rowOff>0</xdr:rowOff>
    </xdr:from>
    <xdr:to>
      <xdr:col>17</xdr:col>
      <xdr:colOff>455771</xdr:colOff>
      <xdr:row>77</xdr:row>
      <xdr:rowOff>56532</xdr:rowOff>
    </xdr:to>
    <xdr:pic>
      <xdr:nvPicPr>
        <xdr:cNvPr id="4" name="图片 3">
          <a:extLst>
            <a:ext uri="{FF2B5EF4-FFF2-40B4-BE49-F238E27FC236}">
              <a16:creationId xmlns:a16="http://schemas.microsoft.com/office/drawing/2014/main" id="{68FBA2FF-B881-EBCC-63EB-613248C8FF63}"/>
            </a:ext>
          </a:extLst>
        </xdr:cNvPr>
        <xdr:cNvPicPr>
          <a:picLocks noChangeAspect="1"/>
        </xdr:cNvPicPr>
      </xdr:nvPicPr>
      <xdr:blipFill>
        <a:blip xmlns:r="http://schemas.openxmlformats.org/officeDocument/2006/relationships" r:embed="rId3"/>
        <a:stretch>
          <a:fillRect/>
        </a:stretch>
      </xdr:blipFill>
      <xdr:spPr>
        <a:xfrm>
          <a:off x="685800" y="9048750"/>
          <a:ext cx="11428571" cy="4942857"/>
        </a:xfrm>
        <a:prstGeom prst="rect">
          <a:avLst/>
        </a:prstGeom>
      </xdr:spPr>
    </xdr:pic>
    <xdr:clientData/>
  </xdr:twoCellAnchor>
  <xdr:twoCellAnchor editAs="oneCell">
    <xdr:from>
      <xdr:col>1</xdr:col>
      <xdr:colOff>38100</xdr:colOff>
      <xdr:row>79</xdr:row>
      <xdr:rowOff>152400</xdr:rowOff>
    </xdr:from>
    <xdr:to>
      <xdr:col>17</xdr:col>
      <xdr:colOff>655776</xdr:colOff>
      <xdr:row>108</xdr:row>
      <xdr:rowOff>18411</xdr:rowOff>
    </xdr:to>
    <xdr:pic>
      <xdr:nvPicPr>
        <xdr:cNvPr id="5" name="图片 4">
          <a:extLst>
            <a:ext uri="{FF2B5EF4-FFF2-40B4-BE49-F238E27FC236}">
              <a16:creationId xmlns:a16="http://schemas.microsoft.com/office/drawing/2014/main" id="{9BCD7EF5-BF12-952A-3AF8-2398C0BAC44B}"/>
            </a:ext>
          </a:extLst>
        </xdr:cNvPr>
        <xdr:cNvPicPr>
          <a:picLocks noChangeAspect="1"/>
        </xdr:cNvPicPr>
      </xdr:nvPicPr>
      <xdr:blipFill>
        <a:blip xmlns:r="http://schemas.openxmlformats.org/officeDocument/2006/relationships" r:embed="rId4"/>
        <a:stretch>
          <a:fillRect/>
        </a:stretch>
      </xdr:blipFill>
      <xdr:spPr>
        <a:xfrm>
          <a:off x="723900" y="14449425"/>
          <a:ext cx="11590476" cy="5114286"/>
        </a:xfrm>
        <a:prstGeom prst="rect">
          <a:avLst/>
        </a:prstGeom>
      </xdr:spPr>
    </xdr:pic>
    <xdr:clientData/>
  </xdr:twoCellAnchor>
  <xdr:twoCellAnchor editAs="oneCell">
    <xdr:from>
      <xdr:col>1</xdr:col>
      <xdr:colOff>361950</xdr:colOff>
      <xdr:row>108</xdr:row>
      <xdr:rowOff>0</xdr:rowOff>
    </xdr:from>
    <xdr:to>
      <xdr:col>12</xdr:col>
      <xdr:colOff>170531</xdr:colOff>
      <xdr:row>122</xdr:row>
      <xdr:rowOff>113969</xdr:rowOff>
    </xdr:to>
    <xdr:pic>
      <xdr:nvPicPr>
        <xdr:cNvPr id="6" name="图片 5">
          <a:extLst>
            <a:ext uri="{FF2B5EF4-FFF2-40B4-BE49-F238E27FC236}">
              <a16:creationId xmlns:a16="http://schemas.microsoft.com/office/drawing/2014/main" id="{6408B485-3EA4-D8EC-0C00-5464C9D6D17F}"/>
            </a:ext>
          </a:extLst>
        </xdr:cNvPr>
        <xdr:cNvPicPr>
          <a:picLocks noChangeAspect="1"/>
        </xdr:cNvPicPr>
      </xdr:nvPicPr>
      <xdr:blipFill>
        <a:blip xmlns:r="http://schemas.openxmlformats.org/officeDocument/2006/relationships" r:embed="rId5"/>
        <a:stretch>
          <a:fillRect/>
        </a:stretch>
      </xdr:blipFill>
      <xdr:spPr>
        <a:xfrm>
          <a:off x="1047750" y="19545300"/>
          <a:ext cx="7352381" cy="2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9579;&#28165;&#38597;\2022\2022-1-0334-F01-&#21326;&#22799;&#37329;&#21488;&#37324;&#21830;&#19994;\F01\&#26368;&#32456;\2022&#37329;&#21488;&#37324;.xlsx" TargetMode="External"/><Relationship Id="rId1" Type="http://schemas.openxmlformats.org/officeDocument/2006/relationships/externalLinkPath" Target="file:///D:\&#29579;&#28165;&#38597;\2022\2022-1-0334-F01-&#21326;&#22799;&#37329;&#21488;&#37324;&#21830;&#19994;\F01\&#26368;&#32456;\2022&#37329;&#21488;&#373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商业"/>
      <sheetName val="Sheet2"/>
      <sheetName val="成本法"/>
      <sheetName val="收益法"/>
      <sheetName val="租金"/>
      <sheetName val="假设开发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收益法-酒店模型</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475.8</v>
          </cell>
        </row>
      </sheetData>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row r="61">
          <cell r="A61" t="str">
            <v>交易情况</v>
          </cell>
          <cell r="C61" t="str">
            <v>正常</v>
          </cell>
        </row>
        <row r="63">
          <cell r="B63" t="str">
            <v>用途</v>
          </cell>
          <cell r="C63" t="str">
            <v>商业</v>
          </cell>
        </row>
        <row r="86">
          <cell r="B86" t="str">
            <v>临街状况</v>
          </cell>
        </row>
        <row r="90">
          <cell r="B90" t="str">
            <v>人流量</v>
          </cell>
          <cell r="C90" t="str">
            <v>大</v>
          </cell>
          <cell r="D90" t="str">
            <v>较大</v>
          </cell>
          <cell r="E90" t="str">
            <v>一般</v>
          </cell>
          <cell r="F90" t="str">
            <v>较小</v>
          </cell>
          <cell r="G90" t="str">
            <v>小</v>
          </cell>
        </row>
        <row r="92">
          <cell r="B92" t="str">
            <v>楼层</v>
          </cell>
          <cell r="C92">
            <v>1</v>
          </cell>
          <cell r="D92" t="str">
            <v>1-2</v>
          </cell>
        </row>
        <row r="100">
          <cell r="B100" t="str">
            <v>商业类型</v>
          </cell>
          <cell r="C100" t="str">
            <v>商业街</v>
          </cell>
          <cell r="D100" t="str">
            <v>独栋</v>
          </cell>
          <cell r="E100" t="str">
            <v>办公配套</v>
          </cell>
          <cell r="F100" t="str">
            <v>住宅配套</v>
          </cell>
        </row>
        <row r="105">
          <cell r="B105" t="str">
            <v>建筑结构</v>
          </cell>
          <cell r="C105" t="str">
            <v>钢混</v>
          </cell>
          <cell r="D105" t="str">
            <v>砖混</v>
          </cell>
        </row>
        <row r="107">
          <cell r="B107" t="str">
            <v>公共部分装修</v>
          </cell>
          <cell r="C107" t="str">
            <v>精装</v>
          </cell>
        </row>
        <row r="112">
          <cell r="B112" t="str">
            <v>市政基础设施</v>
          </cell>
        </row>
        <row r="114">
          <cell r="B114" t="str">
            <v>业态</v>
          </cell>
          <cell r="C114" t="str">
            <v>可餐饮</v>
          </cell>
          <cell r="D114" t="str">
            <v>不可餐饮</v>
          </cell>
        </row>
        <row r="116">
          <cell r="B116" t="str">
            <v>层高</v>
          </cell>
          <cell r="C116" t="str">
            <v>超高</v>
          </cell>
          <cell r="D116" t="str">
            <v>标准</v>
          </cell>
        </row>
        <row r="120">
          <cell r="B120" t="str">
            <v>进深比</v>
          </cell>
        </row>
        <row r="122">
          <cell r="B122" t="str">
            <v>内部装修</v>
          </cell>
          <cell r="C122" t="str">
            <v>精装</v>
          </cell>
          <cell r="D122" t="str">
            <v>普装</v>
          </cell>
          <cell r="E122" t="str">
            <v>简装</v>
          </cell>
          <cell r="F122" t="str">
            <v>毛坯</v>
          </cell>
        </row>
      </sheetData>
      <sheetData sheetId="17"/>
      <sheetData sheetId="18"/>
      <sheetData sheetId="19"/>
      <sheetData sheetId="20"/>
      <sheetData sheetId="21"/>
      <sheetData sheetId="22"/>
      <sheetData sheetId="23">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0">
        <row r="69">
          <cell r="B69" t="str">
            <v>用途</v>
          </cell>
        </row>
        <row r="96">
          <cell r="B96" t="str">
            <v>毗邻道路的类型与等级</v>
          </cell>
        </row>
        <row r="98">
          <cell r="B98" t="str">
            <v>土地级别</v>
          </cell>
        </row>
        <row r="109">
          <cell r="B109" t="str">
            <v>宗地形状</v>
          </cell>
        </row>
        <row r="111">
          <cell r="B111" t="str">
            <v>宗地开发程度</v>
          </cell>
        </row>
        <row r="113">
          <cell r="B113" t="str">
            <v>工程地质条件</v>
          </cell>
        </row>
      </sheetData>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估价对象为北京市房地产，为所有。根据《国有土地使用证》[]，估价对象（分摊）出让国有建设用地使用权面积为0平方米，建筑面积为475.8平方米。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估价对象为北京市房地产,属开发建设的，该项目尚在开发建设中。根据《国有土地使用证》[]，估价对象（分摊）出让国有建设用地使用权面积为0平方米，规划建筑面积为475.8平方米。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2025年2月28日</v>
      </c>
    </row>
    <row r="13" spans="1:2">
      <c r="A13" s="1119" t="s">
        <v>529</v>
      </c>
      <c r="B13" s="1120"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2589</v>
      </c>
    </row>
    <row r="21" spans="1:2">
      <c r="A21" s="1119" t="s">
        <v>537</v>
      </c>
      <c r="B21" s="1120">
        <f ca="1">'预评函-2'!D7</f>
        <v>54409</v>
      </c>
    </row>
    <row r="22" spans="1:2">
      <c r="A22" s="1119" t="s">
        <v>538</v>
      </c>
      <c r="B22" s="1120" t="str">
        <f ca="1">'预评函-2'!D6</f>
        <v>贰仟伍佰捌拾玖万元整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2589</v>
      </c>
    </row>
    <row r="31" spans="1:2">
      <c r="A31" s="1119" t="s">
        <v>576</v>
      </c>
      <c r="B31" s="1120">
        <f ca="1">'预评函-2'!D15</f>
        <v>54409</v>
      </c>
    </row>
    <row r="32" spans="1:2">
      <c r="A32" s="1119" t="s">
        <v>543</v>
      </c>
      <c r="B32" s="1120" t="str">
        <f ca="1">'预评函-2'!D14</f>
        <v>贰仟伍佰捌拾玖万元整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475.8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2470</v>
      </c>
    </row>
    <row r="48" spans="1:2">
      <c r="A48" s="1119" t="s">
        <v>549</v>
      </c>
      <c r="B48" s="1120">
        <f ca="1">'预评函-3'!E4</f>
        <v>51906</v>
      </c>
    </row>
    <row r="49" spans="1:2">
      <c r="A49" s="1119" t="s">
        <v>550</v>
      </c>
      <c r="B49" s="1120" t="str">
        <f ca="1">'预评函-3'!D5</f>
        <v>贰仟肆佰柒拾万元整</v>
      </c>
    </row>
    <row r="50" spans="1:2">
      <c r="A50" s="1119" t="s">
        <v>574</v>
      </c>
      <c r="B50" s="1120" t="str">
        <f>'预评函-3'!F2</f>
        <v>在建建筑物价值</v>
      </c>
    </row>
    <row r="51" spans="1:2">
      <c r="A51" s="1119" t="s">
        <v>551</v>
      </c>
      <c r="B51" s="1120">
        <f ca="1">'预评函-3'!F4</f>
        <v>119</v>
      </c>
    </row>
    <row r="52" spans="1:2">
      <c r="A52" s="1119" t="s">
        <v>552</v>
      </c>
      <c r="B52" s="1120">
        <f ca="1">'预评函-3'!G4</f>
        <v>2503</v>
      </c>
    </row>
    <row r="53" spans="1:2">
      <c r="A53" s="1119" t="s">
        <v>580</v>
      </c>
      <c r="B53" s="1120" t="str">
        <f ca="1">'预评函-3'!F5</f>
        <v>壹佰壹拾玖万元整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195" t="s">
        <v>2580</v>
      </c>
      <c r="J2" s="3195"/>
      <c r="K2" s="3195"/>
      <c r="L2" s="3195"/>
      <c r="M2" s="3195"/>
      <c r="N2" s="3195"/>
      <c r="O2" s="3195"/>
      <c r="P2" s="3195"/>
      <c r="Q2" s="3195"/>
      <c r="R2" s="3195"/>
    </row>
    <row r="3" spans="1:18">
      <c r="A3" s="2763" t="s">
        <v>2501</v>
      </c>
      <c r="B3" s="2764">
        <f>项目基本情况!D3</f>
        <v>45716</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1.8</v>
      </c>
      <c r="D5" s="2768">
        <f>IF(ISERROR(ROUND(POWER(1+E5,A5-C5)*(POWER(1+E5,C5)-1)/(POWER(1+E5,A5)-1),3)),0,ROUND(POWER(1+E5,A5-C5)*(POWER(1+E5,C5)-1)/(POWER(1+E5,A5)-1),4))</f>
        <v>8.6099999999999996E-2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11.81</v>
      </c>
      <c r="D6" s="2768">
        <f>IF(ISERROR(ROUND(POWER(1+E6,A6-C6)*(POWER(1+E6,C6)-1)/(POWER(1+E6,A6)-1),3)),0,ROUND(POWER(1+E6,A6-C6)*(POWER(1+E6,C6)-1)/(POWER(1+E6,A6)-1),4))</f>
        <v>0.43140000000000001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31.82</v>
      </c>
      <c r="D7" s="2768">
        <f>IF(ISERROR(ROUND(POWER(1+E7,A7-C7)*(POWER(1+E7,C7)-1)/(POWER(1+E7,A7)-1),3)),0,ROUND(POWER(1+E7,A7-C7)*(POWER(1+E7,C7)-1)/(POWER(1+E7,A7)-1),4))</f>
        <v>0.76180000000000003</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3389</v>
      </c>
    </row>
    <row r="50" spans="1:4">
      <c r="A50" s="3145" t="s">
        <v>3390</v>
      </c>
      <c r="B50" s="3145" t="s">
        <v>3391</v>
      </c>
      <c r="C50" s="3145" t="s">
        <v>3392</v>
      </c>
      <c r="D50" s="3145" t="s">
        <v>3393</v>
      </c>
    </row>
    <row r="51" spans="1:4">
      <c r="A51" s="3145" t="s">
        <v>3394</v>
      </c>
      <c r="B51" s="2765">
        <f>B52+B53</f>
        <v>15000</v>
      </c>
      <c r="C51" s="3146">
        <f>D51/B51</f>
        <v>2666.6666666666665</v>
      </c>
      <c r="D51" s="2765">
        <f>D52+D53</f>
        <v>40000000</v>
      </c>
    </row>
    <row r="52" spans="1:4">
      <c r="A52" s="3147" t="s">
        <v>3395</v>
      </c>
      <c r="B52" s="3148">
        <v>10000</v>
      </c>
      <c r="C52" s="3148">
        <v>1500</v>
      </c>
      <c r="D52" s="3149">
        <f>C52*B52</f>
        <v>15000000</v>
      </c>
    </row>
    <row r="53" spans="1:4">
      <c r="A53" s="3147" t="s">
        <v>3396</v>
      </c>
      <c r="B53" s="3148">
        <v>5000</v>
      </c>
      <c r="C53" s="3148">
        <v>5000</v>
      </c>
      <c r="D53" s="3149">
        <f>C53*B53</f>
        <v>25000000</v>
      </c>
    </row>
    <row r="54" spans="1:4">
      <c r="A54" s="3145" t="s">
        <v>3397</v>
      </c>
      <c r="B54" s="2765">
        <f>B51</f>
        <v>15000</v>
      </c>
      <c r="C54" s="2771">
        <v>700</v>
      </c>
      <c r="D54" s="2765">
        <f t="shared" ref="D54:D55" si="5">C54*B54</f>
        <v>10500000</v>
      </c>
    </row>
    <row r="55" spans="1:4">
      <c r="A55" s="3145" t="s">
        <v>3398</v>
      </c>
      <c r="B55" s="2765">
        <f>B51</f>
        <v>15000</v>
      </c>
      <c r="C55" s="2771">
        <v>1500</v>
      </c>
      <c r="D55" s="2765">
        <f t="shared" si="5"/>
        <v>22500000</v>
      </c>
    </row>
    <row r="56" spans="1:4">
      <c r="A56" s="3145" t="s">
        <v>3399</v>
      </c>
      <c r="B56" s="2765">
        <f>B51</f>
        <v>15000</v>
      </c>
      <c r="C56" s="3150">
        <f>C51+C54+C55</f>
        <v>4866.6666666666661</v>
      </c>
      <c r="D56" s="2765">
        <f>D51+D54+D55</f>
        <v>73000000</v>
      </c>
    </row>
    <row r="58" spans="1:4">
      <c r="A58" s="3145" t="s">
        <v>3400</v>
      </c>
      <c r="B58" s="3151">
        <v>0.05</v>
      </c>
      <c r="C58" s="2765">
        <f>C56*(1+B58)</f>
        <v>5110</v>
      </c>
      <c r="D58" s="2765">
        <f>D56*B58</f>
        <v>3650000</v>
      </c>
    </row>
    <row r="60" spans="1:4">
      <c r="A60" s="3145" t="s">
        <v>3401</v>
      </c>
      <c r="B60" s="2771">
        <v>3500</v>
      </c>
      <c r="C60" s="2771">
        <f>C53</f>
        <v>5000</v>
      </c>
      <c r="D60" s="2765">
        <f>C60*B60</f>
        <v>17500000</v>
      </c>
    </row>
    <row r="62" spans="1:4">
      <c r="A62" s="3145" t="s">
        <v>3402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45716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3404</v>
      </c>
      <c r="C8" s="2201"/>
      <c r="D8" s="3206" t="s">
        <v>2177</v>
      </c>
      <c r="E8" s="2202" t="s">
        <v>3405</v>
      </c>
      <c r="F8" s="2203"/>
      <c r="G8" s="2442"/>
      <c r="H8" s="2442"/>
      <c r="I8" s="2442"/>
      <c r="J8" s="2245"/>
      <c r="K8" s="2400"/>
      <c r="L8" s="2399"/>
      <c r="M8" s="2399"/>
      <c r="N8" s="2245"/>
      <c r="O8" s="1670"/>
      <c r="P8" s="2245"/>
      <c r="Q8" s="2245"/>
      <c r="R8" s="2245"/>
    </row>
    <row r="9" spans="1:30" ht="13.5" thickBot="1">
      <c r="A9" s="2204" t="s">
        <v>2178</v>
      </c>
      <c r="B9" s="2205" t="s">
        <v>3405</v>
      </c>
      <c r="C9" s="2206"/>
      <c r="D9" s="3207"/>
      <c r="E9" s="2205"/>
      <c r="F9" s="2207"/>
      <c r="G9" s="2443"/>
      <c r="H9" s="2443"/>
      <c r="I9" s="2443"/>
      <c r="J9" s="2245"/>
      <c r="K9" s="2402"/>
      <c r="L9" s="2399"/>
      <c r="M9" s="2399"/>
      <c r="N9" s="2245"/>
      <c r="O9" s="1670"/>
      <c r="P9" s="2245"/>
      <c r="Q9" s="2245"/>
      <c r="R9" s="2245"/>
    </row>
    <row r="10" spans="1:30" ht="13.5" thickTop="1">
      <c r="A10" s="2208" t="s">
        <v>2179</v>
      </c>
      <c r="B10" s="2209" t="s">
        <v>3406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55176</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25.91</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475.8</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252</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475.8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475.8</v>
      </c>
      <c r="H5" s="13">
        <f t="shared" ref="H5:AT5" si="0">SUM(H13:H656)</f>
        <v>475.8</v>
      </c>
      <c r="I5" s="13">
        <f t="shared" si="0"/>
        <v>475.8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475.8</v>
      </c>
      <c r="BA5" s="15">
        <f t="shared" si="1"/>
        <v>475.8</v>
      </c>
      <c r="BB5" s="15">
        <f t="shared" si="1"/>
        <v>475.8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3409</v>
      </c>
      <c r="E13" s="13">
        <f>IF($C$3="是",ROUND($A$3*G13/$B$3,2),ROUND($A$3*(G13-AT13)/$B$3,2))</f>
        <v>0</v>
      </c>
      <c r="F13" s="29"/>
      <c r="G13" s="30">
        <f>H13+AC13+AT13</f>
        <v>475.8</v>
      </c>
      <c r="H13" s="17">
        <f>SUMIF(I$12:AB$12,"总值",I13:AB13)</f>
        <v>475.8</v>
      </c>
      <c r="I13" s="1514">
        <v>475.8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475.8</v>
      </c>
      <c r="BA13" s="13">
        <f>SUM(BB13:BK13)</f>
        <v>475.8</v>
      </c>
      <c r="BB13" s="13">
        <f>IF($D13="是",I13-J13,0)</f>
        <v>475.8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475.8</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475.8</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475.8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475.8</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3411</v>
      </c>
      <c r="D19" s="43">
        <f>ROUND($D$3*E19/$E$3,2)</f>
        <v>0</v>
      </c>
      <c r="E19" s="51">
        <f t="shared" ref="E19:E26" si="1">SUM(F19:G19)</f>
        <v>475.8</v>
      </c>
      <c r="F19" s="2558">
        <f>'数据-基础表'!I13</f>
        <v>475.8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475.8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475.8</v>
      </c>
      <c r="F27" s="1072">
        <f>IF(SUM(F19:F26)=E8,SUM(F19:F26),"地上面积有误")</f>
        <v>475.8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475.8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475.8</v>
      </c>
      <c r="F31" s="644">
        <f>F27+F30</f>
        <v>475.8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45716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甲21号</v>
      </c>
      <c r="B6" s="1587" t="str">
        <f>IF(A6=0,"","经营性")</f>
        <v>经营性</v>
      </c>
      <c r="C6" s="1588" t="s">
        <v>673</v>
      </c>
      <c r="D6" s="805">
        <f>SUMIF(项目基本情况!C$12:I$12,C6,项目基本情况!C$14:I$14)</f>
        <v>40</v>
      </c>
      <c r="E6" s="804">
        <f>IF(B6="","",SUMIF(项目基本情况!C$12:I$12,C6,项目基本情况!C$13:I$13))</f>
        <v>55176</v>
      </c>
      <c r="F6" s="61">
        <f>SUMIF(项目基本情况!C$12:I$12,C6,项目基本情况!C$15:I$15)</f>
        <v>25.91</v>
      </c>
      <c r="G6" s="62">
        <f>IF(ISERROR(ROUND(POWER(1+H6,D6-F6)*(POWER(1+H6,F6)-1)/(POWER(1+H6,D6)-1),3)),0,ROUND(POWER(1+H6,D6-F6)*(POWER(1+H6,F6)-1)/(POWER(1+H6,D6)-1),3))</f>
        <v>0.85</v>
      </c>
      <c r="H6" s="691">
        <v>5.5E-2</v>
      </c>
      <c r="I6" s="691">
        <v>0.06</v>
      </c>
      <c r="J6" s="63">
        <v>7.0000000000000007E-2</v>
      </c>
      <c r="K6" s="970">
        <f>SUMIF('数据-汇总表'!C$19:C$33,A6,'数据-汇总表'!E$19:E$33)</f>
        <v>475.8</v>
      </c>
      <c r="L6" s="692">
        <v>2500</v>
      </c>
      <c r="M6" s="64">
        <f t="shared" ref="M6:M14" si="0">ROUND(K6*L6/10000,0)</f>
        <v>119</v>
      </c>
      <c r="N6" s="690">
        <f>N21</f>
        <v>0.6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12</v>
      </c>
      <c r="V6" s="67">
        <v>0.02</v>
      </c>
      <c r="W6" s="67">
        <v>0.1</v>
      </c>
      <c r="X6" s="979"/>
      <c r="Y6" s="68">
        <f>N6</f>
        <v>0.6</v>
      </c>
      <c r="Z6" s="69"/>
      <c r="AA6" s="63"/>
      <c r="AB6" s="63"/>
      <c r="AC6" s="979"/>
      <c r="AD6" s="70"/>
      <c r="AE6" s="980">
        <f ca="1">IF(AN6="",0,SUMIF(INDIRECT("'"&amp;AN6&amp;"'"&amp;"!E:E"),$AE$5,INDIRECT("'"&amp;AN6&amp;"'"&amp;"!F:F")))</f>
        <v>25.91</v>
      </c>
      <c r="AF6" s="74"/>
      <c r="AG6" s="130">
        <f>IF(AF6="",0,AE6-AF6)</f>
        <v>0</v>
      </c>
      <c r="AH6" s="71"/>
      <c r="AI6" s="73">
        <v>365</v>
      </c>
      <c r="AJ6" s="74"/>
      <c r="AK6" s="75">
        <v>3.0000000000000001E-3</v>
      </c>
      <c r="AL6" s="76">
        <v>1E-3</v>
      </c>
      <c r="AM6" s="77">
        <v>5.0000000000000001E-3</v>
      </c>
      <c r="AN6" s="1589" t="s">
        <v>3422</v>
      </c>
      <c r="AO6" s="50">
        <f ca="1">SUMIF(INDIRECT("'"&amp;AN6&amp;"'"&amp;"!A:A"),"总价",INDIRECT("'"&amp;AN6&amp;"'"&amp;"!B:B"))</f>
        <v>2440.7031000000002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v>
      </c>
      <c r="H16" s="84">
        <f>ROUND(SUMPRODUCT(H6:H13,K6:K13)/SUMPRODUCT((H6:H13&gt;0)*(K6:K13)),3)</f>
        <v>5.5E-2</v>
      </c>
      <c r="I16" s="85"/>
      <c r="J16" s="85"/>
      <c r="K16" s="86">
        <f>SUM(K6:K15)</f>
        <v>475.8</v>
      </c>
      <c r="L16" s="87">
        <f>ROUND(M16*10000/SUM(K6:K14),0)</f>
        <v>2501</v>
      </c>
      <c r="M16" s="87">
        <f>SUM(M6:M14)</f>
        <v>119</v>
      </c>
      <c r="N16" s="88">
        <f>ROUND(SUMPRODUCT(M6:M14,N6:N14)/M16,3)</f>
        <v>0.6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1992</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ROUND(1-(1-0.02)*(2025-N18)/50,2)</f>
        <v>0.35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0.85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ROUND((N19+N20)/2,2)</f>
        <v>0.6</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2286</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45716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54409</v>
      </c>
      <c r="D5" s="2300" t="e">
        <f>ROUND(B5*10000/$B$2,0)</f>
        <v>#DIV/0!</v>
      </c>
      <c r="E5" s="2462"/>
      <c r="F5" s="2463"/>
      <c r="G5" s="2463"/>
      <c r="H5" s="2463"/>
      <c r="I5" s="2463"/>
      <c r="J5" s="2463"/>
      <c r="K5" s="2463"/>
    </row>
    <row r="6" spans="1:11" ht="16.5">
      <c r="A6" s="2300" t="s">
        <v>656</v>
      </c>
      <c r="B6" s="2300">
        <f>SUM(G14:G23)</f>
        <v>0</v>
      </c>
      <c r="C6" s="2300">
        <f ca="1">IF(B6=G14,结果表!H108,ROUND(B6*10000/$B$1,0))</f>
        <v>54409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6" zoomScale="90" zoomScaleNormal="100" zoomScaleSheetLayoutView="90" zoomScalePageLayoutView="80" workbookViewId="0">
      <selection activeCell="H23" sqref="H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3490</v>
      </c>
      <c r="D4" s="1626" t="s">
        <v>3422</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5</v>
      </c>
      <c r="D14" s="3279">
        <v>5</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66" t="s">
        <v>2131</v>
      </c>
      <c r="F18" s="3267"/>
      <c r="G18" s="3267"/>
      <c r="H18" s="3267"/>
      <c r="I18" s="3267"/>
      <c r="K18" s="294" t="s">
        <v>1289</v>
      </c>
      <c r="L18" s="294">
        <f>IF(C1="",'数据-汇总表'!E3,SUMIF(项目类型,C1,'数据-汇总表'!E17:E26)+SUMIF(项目类型,C1,'数据-汇总表'!I17:I26))</f>
        <v>475.8</v>
      </c>
      <c r="M18" s="294">
        <f>IF(C1="",'数据-汇总表'!E3,SUMIF(项目类型,C1,'数据-汇总表'!E17:E26))</f>
        <v>475.8</v>
      </c>
    </row>
    <row r="19" spans="1:36" ht="15">
      <c r="A19" s="1630" t="s">
        <v>1290</v>
      </c>
      <c r="B19" s="1631" t="s">
        <v>1291</v>
      </c>
      <c r="C19" s="126">
        <f ca="1">SUMIF(INDIRECT("'"&amp;C4&amp;"'"&amp;"!A:A"),结果表!B19,INDIRECT("'"&amp;C4&amp;"'"&amp;"!B:B"))</f>
        <v>2736.8015999999998</v>
      </c>
      <c r="D19" s="127">
        <f ca="1">SUMIF(INDIRECT("'"&amp;D4&amp;"'"&amp;"!A:A"),结果表!B19,INDIRECT("'"&amp;D4&amp;"'"&amp;"!B:B"))</f>
        <v>2440.7031000000002</v>
      </c>
      <c r="E19" s="1630" t="s">
        <v>1292</v>
      </c>
      <c r="F19" s="1631" t="s">
        <v>1291</v>
      </c>
      <c r="G19" s="128">
        <f ca="1">ROUND(C19*$C$18+D19*$D$18,0)</f>
        <v>2589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57520</v>
      </c>
      <c r="D20" s="130">
        <f ca="1">SUMIF(INDIRECT("'"&amp;D4&amp;"'"&amp;"!A:A"),结果表!B20,INDIRECT("'"&amp;D4&amp;"'"&amp;"!B:B"))</f>
        <v>51297</v>
      </c>
      <c r="E20" s="1633"/>
      <c r="F20" s="43" t="s">
        <v>1295</v>
      </c>
      <c r="G20" s="131">
        <f ca="1">ROUND(C20*$C$18+D20*$D$18,0)</f>
        <v>54409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0.12131688610548319</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54409</v>
      </c>
      <c r="D32" s="1641" t="s">
        <v>3492</v>
      </c>
      <c r="E32" s="121"/>
      <c r="F32" s="121"/>
      <c r="G32" s="121"/>
      <c r="H32" s="121"/>
      <c r="I32" s="121"/>
    </row>
    <row r="33" spans="1:15" ht="15">
      <c r="A33" s="740" t="s">
        <v>1306</v>
      </c>
      <c r="B33" s="123"/>
      <c r="C33" s="1642" t="s">
        <v>3493</v>
      </c>
      <c r="D33" s="1643" t="s">
        <v>3491</v>
      </c>
      <c r="E33" s="1644" t="s">
        <v>1307</v>
      </c>
      <c r="F33" s="1645" t="str">
        <f>IF(D32="楼面单价","取值（单价）","取值（总价）")</f>
        <v>取值（单价）</v>
      </c>
      <c r="G33" s="121"/>
      <c r="H33" s="121"/>
      <c r="I33" s="121"/>
    </row>
    <row r="34" spans="1:15" ht="15">
      <c r="A34" s="1646"/>
      <c r="B34" s="1647" t="s">
        <v>1308</v>
      </c>
      <c r="C34" s="140">
        <f ca="1">IF(C33="自定义",F34,C32-C35)</f>
        <v>51906</v>
      </c>
      <c r="D34" s="808">
        <f ca="1">IF(C33="自定义",ROUND(C34/C32,3),IF(C33="收益比率",SUMIF(INDIRECT("'"&amp;D33&amp;"'"&amp;"!b:b"),"土地收益比率",INDIRECT("'"&amp;D33&amp;"'"&amp;"!c:c")),SUMIF(INDIRECT("'"&amp;D33&amp;"'"&amp;"!b:b"),"土地成本比率",INDIRECT("'"&amp;D33&amp;"'"&amp;"!c:c"))))</f>
        <v>0.95399999999999996</v>
      </c>
      <c r="E34" s="1648" t="s">
        <v>1309</v>
      </c>
      <c r="F34" s="1243"/>
      <c r="G34" s="121"/>
      <c r="H34" s="121"/>
      <c r="I34" s="121"/>
    </row>
    <row r="35" spans="1:15" ht="15.75" thickBot="1">
      <c r="A35" s="1649"/>
      <c r="B35" s="1650" t="s">
        <v>1310</v>
      </c>
      <c r="C35" s="1090">
        <f ca="1">IF(C33="自定义",F35,ROUND(C32*D35,0))</f>
        <v>2503</v>
      </c>
      <c r="D35" s="1091">
        <f ca="1">IF(C33="自定义",ROUND(C35/C32,3),IF(C33="收益比率",SUMIF(INDIRECT("'"&amp;D33&amp;"'"&amp;"!b:b"),"建筑物收益比率",INDIRECT("'"&amp;D33&amp;"'"&amp;"!c:c")),SUMIF(INDIRECT("'"&amp;D33&amp;"'"&amp;"!b:b"),"建筑物成本比率",INDIRECT("'"&amp;D33&amp;"'"&amp;"!c:c"))))</f>
        <v>4.5999999999999999E-2</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2589</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45716</v>
      </c>
      <c r="N47" s="3327"/>
      <c r="O47" s="3327"/>
    </row>
    <row r="48" spans="1:15" ht="25.5">
      <c r="A48" s="3275" t="s">
        <v>1338</v>
      </c>
      <c r="B48" s="3258"/>
      <c r="C48" s="3258"/>
      <c r="D48" s="12">
        <f ca="1">IF(H48="情况1",0,IF(H48="情况2",D52,IF(H48="情况3",D53,IF(H48="情况4",D54))))</f>
        <v>0</v>
      </c>
      <c r="E48" s="1256" t="str">
        <f>IF(H48="情况4","(销售额-原购置价)×税（费）率","销售额×税（费）率")</f>
        <v>(销售额-原购置价)×税（费）率</v>
      </c>
      <c r="F48" s="2335">
        <f>IF(H48="情况1","免征",'数据-取费表'!B41)</f>
        <v>5.6000000000000001E-2</v>
      </c>
      <c r="G48" s="2336" t="s">
        <v>1339</v>
      </c>
      <c r="H48" s="2337" t="s">
        <v>3494</v>
      </c>
      <c r="I48" s="1668"/>
      <c r="J48" s="2310">
        <v>3</v>
      </c>
      <c r="K48" s="3306" t="s">
        <v>1340</v>
      </c>
      <c r="L48" s="3306"/>
      <c r="M48" s="3328">
        <f ca="1">H101</f>
        <v>2589</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2589</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138</v>
      </c>
      <c r="E52" s="1256" t="s">
        <v>1354</v>
      </c>
      <c r="F52" s="2340">
        <f>'数据-取费表'!B41</f>
        <v>5.6000000000000001E-2</v>
      </c>
      <c r="G52" s="2341"/>
      <c r="H52" s="2331"/>
      <c r="I52" s="1669"/>
      <c r="J52" s="2310">
        <v>1</v>
      </c>
      <c r="K52" s="3307" t="s">
        <v>1355</v>
      </c>
      <c r="L52" s="3307"/>
      <c r="M52" s="2312">
        <f ca="1">D48</f>
        <v>0</v>
      </c>
      <c r="N52" s="2310" t="str">
        <f>E48</f>
        <v>(销售额-原购置价)×税（费）率</v>
      </c>
      <c r="O52" s="2313">
        <f>F48</f>
        <v>5.6000000000000001E-2</v>
      </c>
    </row>
    <row r="53" spans="1:35" ht="12" customHeight="1">
      <c r="A53" s="2153" t="s">
        <v>1356</v>
      </c>
      <c r="B53" s="3268" t="s">
        <v>2291</v>
      </c>
      <c r="C53" s="3269"/>
      <c r="D53" s="1024">
        <f ca="1">ROUND(D45*'数据-取费表'!B41/(1+'数据-取费表'!C42),0)</f>
        <v>138</v>
      </c>
      <c r="E53" s="1256" t="s">
        <v>1354</v>
      </c>
      <c r="F53" s="2340">
        <f>'数据-取费表'!B41</f>
        <v>5.6000000000000001E-2</v>
      </c>
      <c r="G53" s="2341"/>
      <c r="H53" s="2331"/>
      <c r="I53" s="1669"/>
      <c r="J53" s="2310">
        <v>2</v>
      </c>
      <c r="K53" s="3307" t="s">
        <v>1357</v>
      </c>
      <c r="L53" s="3307"/>
      <c r="M53" s="2312">
        <f t="shared" ref="M53:O54" ca="1" si="0">D55</f>
        <v>1</v>
      </c>
      <c r="N53" s="2310" t="str">
        <f t="shared" si="0"/>
        <v>销售额×税（费）率</v>
      </c>
      <c r="O53" s="2313">
        <f t="shared" si="0"/>
        <v>5.0000000000000001E-4</v>
      </c>
    </row>
    <row r="54" spans="1:35" ht="12" customHeight="1">
      <c r="A54" s="2153" t="s">
        <v>1358</v>
      </c>
      <c r="B54" s="3268" t="s">
        <v>2292</v>
      </c>
      <c r="C54" s="3269"/>
      <c r="D54" s="1024">
        <f ca="1">C68</f>
        <v>0</v>
      </c>
      <c r="E54" s="319" t="s">
        <v>1359</v>
      </c>
      <c r="F54" s="2340">
        <f>'数据-取费表'!B41</f>
        <v>5.6000000000000001E-2</v>
      </c>
      <c r="G54" s="2341"/>
      <c r="H54" s="2342"/>
      <c r="I54" s="1669"/>
      <c r="J54" s="2310">
        <v>3</v>
      </c>
      <c r="K54" s="3307" t="s">
        <v>1360</v>
      </c>
      <c r="L54" s="3307"/>
      <c r="M54" s="2312">
        <f t="shared" ca="1" si="0"/>
        <v>0</v>
      </c>
      <c r="N54" s="2310" t="str">
        <f t="shared" si="0"/>
        <v>增值额×税（费）率</v>
      </c>
      <c r="O54" s="2314" t="str">
        <f t="shared" si="0"/>
        <v>——</v>
      </c>
    </row>
    <row r="55" spans="1:35" ht="24" customHeight="1">
      <c r="A55" s="3257" t="s">
        <v>1361</v>
      </c>
      <c r="B55" s="3258"/>
      <c r="C55" s="3258"/>
      <c r="D55" s="12">
        <f ca="1">IF(H55="个人住宅",0,ROUND(D45*I55,0))</f>
        <v>1</v>
      </c>
      <c r="E55" s="1256" t="s">
        <v>1362</v>
      </c>
      <c r="F55" s="2340">
        <f>IF(H55="正常",I55,"免征")</f>
        <v>5.0000000000000001E-4</v>
      </c>
      <c r="G55" s="2341"/>
      <c r="H55" s="2337" t="s">
        <v>3434</v>
      </c>
      <c r="I55" s="157">
        <f>'数据-取费表'!B49</f>
        <v>5.0000000000000001E-4</v>
      </c>
      <c r="J55" s="2310" t="str">
        <f>IF(H59="非个人房产","",4)</f>
        <v/>
      </c>
      <c r="K55" s="3307" t="str">
        <f>IF(H59="非个人房产","——","个人所得税")</f>
        <v>——</v>
      </c>
      <c r="L55" s="3307"/>
      <c r="M55" s="2315" t="str">
        <f>D59</f>
        <v>——</v>
      </c>
      <c r="N55" s="1883" t="str">
        <f>E59</f>
        <v>——</v>
      </c>
      <c r="O55" s="2316" t="str">
        <f>F59</f>
        <v>——</v>
      </c>
    </row>
    <row r="56" spans="1:35" ht="24.75">
      <c r="A56" s="3257" t="s">
        <v>1363</v>
      </c>
      <c r="B56" s="3258"/>
      <c r="C56" s="3258"/>
      <c r="D56" s="12">
        <f ca="1">IF(H56="个人住宅",D57,D58)</f>
        <v>0</v>
      </c>
      <c r="E56" s="1256" t="s">
        <v>1364</v>
      </c>
      <c r="F56" s="2340" t="str">
        <f>IF(H56="正常",F58,"免征")</f>
        <v>——</v>
      </c>
      <c r="G56" s="2343" t="s">
        <v>1365</v>
      </c>
      <c r="H56" s="2344" t="s">
        <v>3434</v>
      </c>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4</v>
      </c>
      <c r="K57" s="3307" t="s">
        <v>1367</v>
      </c>
      <c r="L57" s="2317" t="s">
        <v>1368</v>
      </c>
      <c r="M57" s="2318"/>
      <c r="N57" s="2319">
        <f ca="1">SUMIF(M52:M56,"&lt;9e307")</f>
        <v>1</v>
      </c>
      <c r="O57" s="2320"/>
      <c r="P57" s="2465">
        <f ca="1">N57/M49</f>
        <v>3.8624951718810351E-4</v>
      </c>
    </row>
    <row r="58" spans="1:35" ht="24.75">
      <c r="A58" s="2153" t="s">
        <v>1352</v>
      </c>
      <c r="B58" s="3268" t="s">
        <v>1369</v>
      </c>
      <c r="C58" s="3242"/>
      <c r="D58" s="12">
        <f ca="1">IF(H58="转让取得",C81,C97)</f>
        <v>0</v>
      </c>
      <c r="E58" s="1256" t="s">
        <v>1364</v>
      </c>
      <c r="F58" s="294" t="s">
        <v>28</v>
      </c>
      <c r="G58" s="2341"/>
      <c r="H58" s="2344" t="s">
        <v>3495</v>
      </c>
      <c r="I58" s="1670"/>
      <c r="J58" s="3307"/>
      <c r="K58" s="3307"/>
      <c r="L58" s="2317" t="s">
        <v>1370</v>
      </c>
      <c r="M58" s="2321"/>
      <c r="N58" s="2322" t="str">
        <f ca="1">NUMBERSTRING(INT(N57*10000),2)&amp;"元整"</f>
        <v>壹万元整</v>
      </c>
      <c r="O58" s="2323"/>
    </row>
    <row r="59" spans="1:35" ht="24.75" thickBot="1">
      <c r="A59" s="3310" t="s">
        <v>1371</v>
      </c>
      <c r="B59" s="3311"/>
      <c r="C59" s="3311"/>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3496</v>
      </c>
      <c r="I59" s="2137" t="s">
        <v>2137</v>
      </c>
      <c r="J59" s="3308">
        <f>J57+1</f>
        <v>5</v>
      </c>
      <c r="K59" s="3307" t="s">
        <v>1372</v>
      </c>
      <c r="L59" s="2310" t="s">
        <v>1368</v>
      </c>
      <c r="M59" s="2324"/>
      <c r="N59" s="2325">
        <f ca="1">M49-N57</f>
        <v>2588</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贰仟伍佰捌拾捌万元整</v>
      </c>
      <c r="O60" s="2323"/>
    </row>
    <row r="61" spans="1:35" ht="13.5" thickBot="1">
      <c r="A61" s="3255" t="s">
        <v>1373</v>
      </c>
      <c r="B61" s="3255"/>
      <c r="C61" s="3255"/>
      <c r="D61" s="3255"/>
      <c r="E61" s="3255"/>
      <c r="F61" s="1670"/>
      <c r="G61" s="1670"/>
      <c r="H61" s="151"/>
      <c r="I61" s="121"/>
      <c r="J61" s="2310">
        <f>J59+1</f>
        <v>6</v>
      </c>
      <c r="K61" s="3307" t="s">
        <v>1374</v>
      </c>
      <c r="L61" s="3307"/>
      <c r="M61" s="2327"/>
      <c r="N61" s="2328">
        <f ca="1">ROUND(N59*10000/'数据-汇总表'!E3,0)</f>
        <v>54393</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2466</v>
      </c>
      <c r="D63" s="159"/>
      <c r="E63" s="160"/>
      <c r="F63" s="1670"/>
      <c r="G63" s="1670"/>
      <c r="H63" s="151"/>
      <c r="I63" s="121"/>
      <c r="J63" s="3332" t="s">
        <v>1379</v>
      </c>
      <c r="K63" s="1245" t="s">
        <v>1380</v>
      </c>
      <c r="L63" s="1245">
        <f ca="1">IF(M49&gt;10000,M49*0.5%,IF(AND(M49&gt;1000,M49&lt;=10000),M49*1%,IF(AND(M49&gt;100,M49&lt;=1000),M49*3%,IF(AND(M49&gt;10,M49&lt;=100),M49*5%,M49*8%))))</f>
        <v>25.89</v>
      </c>
      <c r="M63" s="294">
        <f ca="1">ROUND(L63,1)</f>
        <v>25.9</v>
      </c>
      <c r="N63" s="2330"/>
      <c r="Z63" s="1623"/>
      <c r="AI63" s="1561"/>
    </row>
    <row r="64" spans="1:35" ht="14.25" customHeight="1">
      <c r="A64" s="161" t="s">
        <v>325</v>
      </c>
      <c r="B64" s="162" t="s">
        <v>1381</v>
      </c>
      <c r="C64" s="2351">
        <f ca="1">D45</f>
        <v>2589</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12.945</v>
      </c>
      <c r="M64" s="294">
        <f t="shared" ref="M64:M65" ca="1" si="1">ROUND(L64,1)</f>
        <v>12.9</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2.589</v>
      </c>
      <c r="M65" s="294">
        <f t="shared" ca="1" si="1"/>
        <v>2.6</v>
      </c>
      <c r="N65" s="2331" t="s">
        <v>1383</v>
      </c>
      <c r="Z65" s="1623"/>
      <c r="AI65" s="1561"/>
    </row>
    <row r="66" spans="1:35" ht="14.25" customHeight="1">
      <c r="A66" s="165" t="s">
        <v>327</v>
      </c>
      <c r="B66" s="166" t="s">
        <v>1386</v>
      </c>
      <c r="C66" s="2353">
        <f>ROUND(C75/1.05,0)</f>
        <v>2719</v>
      </c>
      <c r="D66" s="166" t="s">
        <v>26</v>
      </c>
      <c r="E66" s="1251" t="s">
        <v>671</v>
      </c>
      <c r="F66" s="1670"/>
      <c r="G66" s="1670"/>
      <c r="H66" s="151"/>
      <c r="I66" s="121"/>
      <c r="J66" s="3332"/>
      <c r="K66" s="1245" t="s">
        <v>1387</v>
      </c>
      <c r="L66" s="1245">
        <f ca="1">M49*0.5%</f>
        <v>12.945</v>
      </c>
      <c r="M66" s="294">
        <f ca="1">IF(L66&gt;0.5,0.5,ROUND(L66,0))</f>
        <v>0.5</v>
      </c>
      <c r="N66" s="2331" t="s">
        <v>1388</v>
      </c>
      <c r="Z66" s="1623"/>
      <c r="AI66" s="1561"/>
    </row>
    <row r="67" spans="1:35" ht="14.25" customHeight="1">
      <c r="A67" s="165" t="s">
        <v>328</v>
      </c>
      <c r="B67" s="166" t="s">
        <v>1389</v>
      </c>
      <c r="C67" s="2354">
        <f ca="1">C63-C66</f>
        <v>-253</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0</v>
      </c>
      <c r="D68" s="2356">
        <f>'数据-取费表'!B41</f>
        <v>5.6000000000000001E-2</v>
      </c>
      <c r="E68" s="170"/>
      <c r="F68" s="1670"/>
      <c r="G68" s="1670"/>
      <c r="H68" s="151"/>
      <c r="I68" s="121"/>
      <c r="J68" s="3332"/>
      <c r="K68" s="1245" t="s">
        <v>1392</v>
      </c>
      <c r="L68" s="1245">
        <f ca="1">IF(M49&gt;10000,M49*0.5%,IF(AND(M49&gt;5000,M49&lt;=10000),M49*1%,IF(AND(M49&gt;1000,M49&lt;=5000),M49*2%,IF(AND(M49&gt;200,M49&lt;=1000),M49*3%,M49*5%))))</f>
        <v>51.78</v>
      </c>
      <c r="M68" s="294">
        <f ca="1">ROUND(L68,1)</f>
        <v>51.8</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96</v>
      </c>
      <c r="N69" s="2332">
        <f ca="1">M69/M49</f>
        <v>3.7079953650057937E-2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2466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2817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2802</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v>2854.8</v>
      </c>
      <c r="D75" s="162" t="s">
        <v>26</v>
      </c>
      <c r="E75" s="176" t="s">
        <v>1399</v>
      </c>
      <c r="F75" s="2358" t="s">
        <v>3497</v>
      </c>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83</v>
      </c>
      <c r="D77" s="2361">
        <f>'数据-取费表'!B48+'数据-取费表'!B49</f>
        <v>3.0499999999999999E-2</v>
      </c>
      <c r="E77" s="12" t="s">
        <v>1404</v>
      </c>
      <c r="F77" s="178"/>
      <c r="G77" s="1682" t="s">
        <v>3498</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15</v>
      </c>
      <c r="D78" s="2363">
        <f>'数据-取费表'!B43</f>
        <v>6.000000000000001E-3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2466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15</v>
      </c>
      <c r="D93" s="2363">
        <f>'数据-取费表'!B43</f>
        <v>6.000000000000001E-3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2451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1465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比较法-商业</v>
      </c>
      <c r="D101" s="2372" t="str">
        <f>D4</f>
        <v>收益法 (元)</v>
      </c>
      <c r="E101" s="3329" t="s">
        <v>1431</v>
      </c>
      <c r="F101" s="3286"/>
      <c r="G101" s="1687" t="s">
        <v>1432</v>
      </c>
      <c r="H101" s="2381">
        <f ca="1">H118</f>
        <v>2589</v>
      </c>
      <c r="I101" s="121"/>
    </row>
    <row r="102" spans="1:35" ht="18.75" customHeight="1">
      <c r="A102" s="3288" t="s">
        <v>1433</v>
      </c>
      <c r="B102" s="2370" t="s">
        <v>1432</v>
      </c>
      <c r="C102" s="2371">
        <f ca="1">IF(D32="楼面单价",ROUND(C19,0),C19)</f>
        <v>2737</v>
      </c>
      <c r="D102" s="2372">
        <f ca="1">IF(D32="楼面单价",ROUND(D19,0),D19)</f>
        <v>2441</v>
      </c>
      <c r="E102" s="3329"/>
      <c r="F102" s="3286"/>
      <c r="G102" s="1687" t="s">
        <v>1434</v>
      </c>
      <c r="H102" s="2341">
        <f ca="1">I118</f>
        <v>54409</v>
      </c>
      <c r="I102" s="121"/>
    </row>
    <row r="103" spans="1:35" ht="42.75" customHeight="1">
      <c r="A103" s="3288"/>
      <c r="B103" s="2370" t="s">
        <v>1434</v>
      </c>
      <c r="C103" s="2373">
        <f ca="1">C20</f>
        <v>57520</v>
      </c>
      <c r="D103" s="2374">
        <f ca="1">D20</f>
        <v>51297</v>
      </c>
      <c r="E103" s="3323" t="s">
        <v>1435</v>
      </c>
      <c r="F103" s="3324"/>
      <c r="G103" s="1688" t="s">
        <v>1436</v>
      </c>
      <c r="H103" s="2381">
        <f>IF(D36="正常操作",H104+H105+H106,H105+H106)</f>
        <v>0</v>
      </c>
      <c r="I103" s="121"/>
    </row>
    <row r="104" spans="1:35" ht="18.75" customHeight="1">
      <c r="A104" s="3288" t="s">
        <v>1437</v>
      </c>
      <c r="B104" s="2375" t="s">
        <v>1432</v>
      </c>
      <c r="C104" s="2376">
        <f ca="1">H118</f>
        <v>2589</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54409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2589</v>
      </c>
      <c r="I107" s="121"/>
    </row>
    <row r="108" spans="1:35" ht="18.75" customHeight="1">
      <c r="A108" s="121"/>
      <c r="B108" s="121"/>
      <c r="C108" s="121"/>
      <c r="D108" s="121"/>
      <c r="E108" s="3285"/>
      <c r="F108" s="3286"/>
      <c r="G108" s="1687" t="s">
        <v>1434</v>
      </c>
      <c r="H108" s="2341">
        <f ca="1">IF(H107=H101,H102,ROUND(H107*10000/'数据-汇总表'!E3,0))</f>
        <v>54409</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475.8</v>
      </c>
      <c r="C118" s="2150">
        <f>M19</f>
        <v>0</v>
      </c>
      <c r="D118" s="2150">
        <f ca="1">ROUND(IF(D32="总价",C34,E118*B118/10000),0)</f>
        <v>2470</v>
      </c>
      <c r="E118" s="2150">
        <f ca="1">ROUND(IF(C33="自定义",IF(D32="楼面单价",C34,D118*10000/B118),I118-G118),0)</f>
        <v>51906</v>
      </c>
      <c r="F118" s="2150">
        <f ca="1">ROUND(IF(D32="总价",C35,G118*B118/10000),0)</f>
        <v>119</v>
      </c>
      <c r="G118" s="2150">
        <f ca="1">ROUND(IF(D32="楼面单价",C35,F118*10000/B118),0)</f>
        <v>2503</v>
      </c>
      <c r="H118" s="2150">
        <f ca="1">ROUND(IF(D32="总价",C32,I118*B118/10000),0)</f>
        <v>2589</v>
      </c>
      <c r="I118" s="2150">
        <f ca="1">ROUND(IF(D32="楼面单价",C32,H118*10000/B118),0)</f>
        <v>54409</v>
      </c>
    </row>
    <row r="119" spans="1:27" ht="18.75" customHeight="1">
      <c r="A119" s="3256" t="s">
        <v>1452</v>
      </c>
      <c r="B119" s="3256"/>
      <c r="C119" s="3256"/>
      <c r="D119" s="3296" t="str">
        <f ca="1">NUMBERSTRING(INT(D118*10000),2)&amp;"元整"</f>
        <v>贰仟肆佰柒拾万元整</v>
      </c>
      <c r="E119" s="3298"/>
      <c r="F119" s="3296" t="str">
        <f ca="1">NUMBERSTRING(INT(F118*10000),2)&amp;"元整"</f>
        <v>壹佰壹拾玖万元整</v>
      </c>
      <c r="G119" s="3298"/>
      <c r="H119" s="3296" t="str">
        <f ca="1">NUMBERSTRING(INT(H118*10000),2)&amp;"元整"</f>
        <v>贰仟伍佰捌拾玖万元整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2589</v>
      </c>
      <c r="E122" s="3321"/>
      <c r="F122" s="3321"/>
      <c r="G122" s="3321"/>
      <c r="H122" s="3321"/>
      <c r="I122" s="3322"/>
      <c r="AA122" s="684"/>
    </row>
    <row r="123" spans="1:27" ht="18.75" customHeight="1">
      <c r="A123" s="3256" t="s">
        <v>1452</v>
      </c>
      <c r="B123" s="3256"/>
      <c r="C123" s="3256"/>
      <c r="D123" s="3296" t="str">
        <f ca="1">NUMBERSTRING(INT(D122*10000),2)&amp;"元整"</f>
        <v>贰仟伍佰捌拾玖万元整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2648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10</v>
      </c>
      <c r="D10" s="795">
        <f ca="1">IF(B1="",'数据-汇总表'!E6,IF(INDIRECT("'数据-取费表'!c"&amp;$G$1)="住宅",INDIRECT("'数据-取费表'!s"&amp;$G$1),INDIRECT("'数据-取费表'!k"&amp;$G$1)+INDIRECT("'数据-取费表'!s"&amp;$G$1)))</f>
        <v>475.8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475.8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119</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475.8</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5.9999999999999995E-4</v>
      </c>
      <c r="D44" s="230"/>
      <c r="E44" s="230"/>
      <c r="F44" s="231"/>
      <c r="G44" s="3338"/>
    </row>
    <row r="45" spans="1:7" s="206" customFormat="1" ht="13.5" customHeight="1">
      <c r="A45" s="247" t="s">
        <v>1547</v>
      </c>
      <c r="B45" s="236" t="s">
        <v>1513</v>
      </c>
      <c r="C45" s="237">
        <f ca="1">C46</f>
        <v>28</v>
      </c>
      <c r="D45" s="227">
        <f ca="1">C47</f>
        <v>4.0000000000000001E-3</v>
      </c>
      <c r="E45" s="228" t="s">
        <v>1539</v>
      </c>
      <c r="F45" s="238">
        <f ca="1">F27</f>
        <v>0.2</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187</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112</v>
      </c>
      <c r="D51" s="224"/>
      <c r="E51" s="224"/>
      <c r="F51" s="256"/>
      <c r="G51" s="226" t="s">
        <v>1560</v>
      </c>
    </row>
    <row r="52" spans="1:7" s="200" customFormat="1" ht="16.5" thickBot="1">
      <c r="A52" s="257" t="s">
        <v>1561</v>
      </c>
      <c r="B52" s="258"/>
      <c r="C52" s="259">
        <f ca="1">C31+C51</f>
        <v>126</v>
      </c>
      <c r="D52" s="258"/>
      <c r="E52" s="258"/>
      <c r="F52" s="258"/>
      <c r="G52" s="260"/>
    </row>
    <row r="55" spans="1:7" ht="15">
      <c r="B55" s="262" t="s">
        <v>1562</v>
      </c>
      <c r="C55" s="263"/>
    </row>
    <row r="56" spans="1:7">
      <c r="B56" s="265" t="s">
        <v>802</v>
      </c>
      <c r="C56" s="267">
        <f ca="1">1-C57</f>
        <v>0.11099999999999999</v>
      </c>
    </row>
    <row r="57" spans="1:7">
      <c r="B57" s="265" t="s">
        <v>803</v>
      </c>
      <c r="C57" s="266">
        <f ca="1">ROUND(C51/C52,3)</f>
        <v>0.88900000000000001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80" zoomScaleNormal="70" zoomScaleSheetLayoutView="80" workbookViewId="0">
      <selection activeCell="K28" sqref="K2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7.8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3410</v>
      </c>
      <c r="E1" s="3125" t="s">
        <v>3426</v>
      </c>
      <c r="F1" s="1735" t="s">
        <v>3427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2736.8015999999998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57520</v>
      </c>
      <c r="C3" s="344" t="s">
        <v>1768</v>
      </c>
      <c r="D3" s="343">
        <f>IF(D1="",'数据-汇总表'!E3,SUMIF('数据-汇总表'!$C19:$C33,D1,'数据-汇总表'!$E19:$E33))</f>
        <v>475.8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93" t="s">
        <v>3437</v>
      </c>
      <c r="F5" s="3409"/>
      <c r="G5" s="3494" t="s">
        <v>3438</v>
      </c>
      <c r="H5" s="3402"/>
      <c r="I5" s="3494" t="s">
        <v>3439</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45716</v>
      </c>
      <c r="D7" s="355">
        <v>100</v>
      </c>
      <c r="E7" s="356">
        <f>C7</f>
        <v>45716</v>
      </c>
      <c r="F7" s="357">
        <f>SUMIF(58:58,YEAR(E7)&amp;"-"&amp;MONTH(E7),59:59)</f>
        <v>100</v>
      </c>
      <c r="G7" s="356">
        <f>C7</f>
        <v>45716</v>
      </c>
      <c r="H7" s="355">
        <f>SUMIF(58:58,YEAR(G7)&amp;"-"&amp;MONTH(G7),59:59)</f>
        <v>100</v>
      </c>
      <c r="I7" s="356">
        <f>C7</f>
        <v>45716</v>
      </c>
      <c r="J7" s="355">
        <f>SUMIF(58:58,YEAR(I7)&amp;"-"&amp;MONTH(I7),59:59)</f>
        <v>100</v>
      </c>
      <c r="K7" s="38"/>
      <c r="L7" s="2489"/>
      <c r="M7" s="2440"/>
      <c r="N7" s="2440"/>
      <c r="O7" s="2440"/>
      <c r="P7" s="340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75" thickBot="1">
      <c r="A8" s="352" t="s">
        <v>1681</v>
      </c>
      <c r="B8" s="353"/>
      <c r="C8" s="358" t="s">
        <v>3434</v>
      </c>
      <c r="D8" s="355">
        <v>100</v>
      </c>
      <c r="E8" s="358" t="s">
        <v>3432</v>
      </c>
      <c r="F8" s="357">
        <f>SUMIF(61:61,E8,62:62)-SUMIF(61:61,C8,62:62)+100</f>
        <v>105</v>
      </c>
      <c r="G8" s="358" t="s">
        <v>3432</v>
      </c>
      <c r="H8" s="355">
        <f>SUMIF(61:61,G8,62:62)-SUMIF(61:61,C8,62:62)+100</f>
        <v>105</v>
      </c>
      <c r="I8" s="358" t="s">
        <v>3432</v>
      </c>
      <c r="J8" s="355">
        <f>SUMIF(61:61,I8,62:62)-SUMIF(61:61,C8,62:62)+100</f>
        <v>105</v>
      </c>
      <c r="K8" s="38"/>
      <c r="L8" s="2489"/>
      <c r="M8" s="2440"/>
      <c r="N8" s="2440"/>
      <c r="O8" s="2440"/>
      <c r="P8" s="3403" t="s">
        <v>1683</v>
      </c>
      <c r="Q8" s="3404"/>
      <c r="R8" s="664" t="s">
        <v>14</v>
      </c>
      <c r="S8" s="665">
        <f t="shared" si="0"/>
        <v>105</v>
      </c>
      <c r="T8" s="664" t="s">
        <v>14</v>
      </c>
      <c r="U8" s="665">
        <f t="shared" si="1"/>
        <v>105</v>
      </c>
      <c r="V8" s="664" t="s">
        <v>14</v>
      </c>
      <c r="W8" s="665">
        <f t="shared" si="2"/>
        <v>105</v>
      </c>
      <c r="X8" s="666"/>
      <c r="Y8" s="3403" t="s">
        <v>1683</v>
      </c>
      <c r="Z8" s="3404"/>
      <c r="AA8" s="50">
        <f t="shared" ref="AA8:AA46" si="3">D8/F8</f>
        <v>0.95238095238095233</v>
      </c>
      <c r="AB8" s="50">
        <f t="shared" ref="AB8:AB46" si="4">D8/H8</f>
        <v>0.95238095238095233</v>
      </c>
      <c r="AC8" s="50">
        <f t="shared" ref="AC8:AC46" si="5">D8/J8</f>
        <v>0.95238095238095233</v>
      </c>
    </row>
    <row r="9" spans="1:29" s="102" customFormat="1" ht="15">
      <c r="A9" s="359" t="s">
        <v>1684</v>
      </c>
      <c r="B9" s="60" t="s">
        <v>1685</v>
      </c>
      <c r="C9" s="3492" t="s">
        <v>3435</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t="s">
        <v>3436</v>
      </c>
      <c r="D10" s="119">
        <v>100</v>
      </c>
      <c r="E10" s="3134" t="s">
        <v>3440</v>
      </c>
      <c r="F10" s="364">
        <f>SUMIF(65:65,E10,66:66)-SUMIF(65:65,C10,66:66)+100</f>
        <v>94</v>
      </c>
      <c r="G10" s="3133" t="s">
        <v>3440</v>
      </c>
      <c r="H10" s="119">
        <f>SUMIF(65:65,G10,66:66)-SUMIF(65:65,C10,66:66)+100</f>
        <v>94</v>
      </c>
      <c r="I10" s="3133" t="s">
        <v>3440</v>
      </c>
      <c r="J10" s="119">
        <f>SUMIF(65:65,I10,66:66)-SUMIF(65:65,C10,66:66)+100</f>
        <v>94</v>
      </c>
      <c r="K10" s="38"/>
      <c r="L10" s="2490"/>
      <c r="M10" s="2491"/>
      <c r="N10" s="2491"/>
      <c r="O10" s="2491"/>
      <c r="P10" s="3379"/>
      <c r="Q10" s="530" t="str">
        <f t="shared" si="6"/>
        <v>土地使用年限（年）</v>
      </c>
      <c r="R10" s="664" t="s">
        <v>14</v>
      </c>
      <c r="S10" s="665">
        <f t="shared" si="0"/>
        <v>94</v>
      </c>
      <c r="T10" s="664" t="s">
        <v>14</v>
      </c>
      <c r="U10" s="665">
        <f t="shared" si="1"/>
        <v>94</v>
      </c>
      <c r="V10" s="664" t="s">
        <v>14</v>
      </c>
      <c r="W10" s="665">
        <f t="shared" si="2"/>
        <v>94</v>
      </c>
      <c r="X10" s="666"/>
      <c r="Y10" s="3243"/>
      <c r="Z10" s="50" t="str">
        <f t="shared" si="7"/>
        <v>土地使用年限（年）</v>
      </c>
      <c r="AA10" s="50">
        <f t="shared" si="3"/>
        <v>1.0638297872340425</v>
      </c>
      <c r="AB10" s="50">
        <f t="shared" si="4"/>
        <v>1.0638297872340425</v>
      </c>
      <c r="AC10" s="50">
        <f t="shared" si="5"/>
        <v>1.0638297872340425</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100</v>
      </c>
      <c r="I15" s="381"/>
      <c r="J15" s="380">
        <f>SUMIF(76:76,I16,77:77)-SUMIF(76:76,C16,77:77)+100</f>
        <v>100</v>
      </c>
      <c r="K15" s="540">
        <v>5</v>
      </c>
      <c r="L15" s="2493"/>
      <c r="M15" s="2488"/>
      <c r="N15" s="2488"/>
      <c r="O15" s="2488"/>
      <c r="P15" s="3377" t="s">
        <v>1691</v>
      </c>
      <c r="Q15" s="1263" t="str">
        <f t="shared" si="6"/>
        <v>商业繁华度</v>
      </c>
      <c r="R15" s="667" t="s">
        <v>14</v>
      </c>
      <c r="S15" s="668">
        <f t="shared" si="0"/>
        <v>105</v>
      </c>
      <c r="T15" s="667" t="s">
        <v>14</v>
      </c>
      <c r="U15" s="668">
        <f t="shared" si="1"/>
        <v>100</v>
      </c>
      <c r="V15" s="667" t="s">
        <v>14</v>
      </c>
      <c r="W15" s="668">
        <f t="shared" si="2"/>
        <v>100</v>
      </c>
      <c r="X15" s="1265"/>
      <c r="Y15" s="3370" t="s">
        <v>1691</v>
      </c>
      <c r="Z15" s="1264" t="str">
        <f t="shared" si="7"/>
        <v>商业繁华度</v>
      </c>
      <c r="AA15" s="1264">
        <f t="shared" si="3"/>
        <v>0.95238095238095233</v>
      </c>
      <c r="AB15" s="1264">
        <f t="shared" si="4"/>
        <v>1</v>
      </c>
      <c r="AC15" s="1264">
        <f t="shared" si="5"/>
        <v>1</v>
      </c>
    </row>
    <row r="16" spans="1:29" ht="15">
      <c r="A16" s="367"/>
      <c r="B16" s="385"/>
      <c r="C16" s="386" t="s">
        <v>3417</v>
      </c>
      <c r="D16" s="387"/>
      <c r="E16" s="386" t="s">
        <v>3419</v>
      </c>
      <c r="F16" s="388"/>
      <c r="G16" s="386" t="s">
        <v>3417</v>
      </c>
      <c r="H16" s="389"/>
      <c r="I16" s="386" t="s">
        <v>3417</v>
      </c>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t="s">
        <v>3417</v>
      </c>
      <c r="D18" s="389"/>
      <c r="E18" s="1757" t="s">
        <v>3417</v>
      </c>
      <c r="F18" s="392"/>
      <c r="G18" s="1757" t="s">
        <v>3417</v>
      </c>
      <c r="H18" s="387"/>
      <c r="I18" s="1757" t="s">
        <v>3417</v>
      </c>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t="s">
        <v>3417</v>
      </c>
      <c r="D20" s="387"/>
      <c r="E20" s="386" t="s">
        <v>3417</v>
      </c>
      <c r="F20" s="388"/>
      <c r="G20" s="386" t="s">
        <v>3417</v>
      </c>
      <c r="H20" s="387"/>
      <c r="I20" s="386" t="s">
        <v>3417</v>
      </c>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t="s">
        <v>3453</v>
      </c>
      <c r="D22" s="387"/>
      <c r="E22" s="1755" t="s">
        <v>3453</v>
      </c>
      <c r="F22" s="388"/>
      <c r="G22" s="1755" t="s">
        <v>3453</v>
      </c>
      <c r="H22" s="387"/>
      <c r="I22" s="1755" t="s">
        <v>3453</v>
      </c>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t="s">
        <v>3417</v>
      </c>
      <c r="D24" s="387"/>
      <c r="E24" s="386" t="s">
        <v>3417</v>
      </c>
      <c r="F24" s="388"/>
      <c r="G24" s="386" t="s">
        <v>3417</v>
      </c>
      <c r="H24" s="387"/>
      <c r="I24" s="386" t="s">
        <v>3417</v>
      </c>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t="s">
        <v>3456</v>
      </c>
      <c r="D25" s="374">
        <v>100</v>
      </c>
      <c r="E25" s="542" t="s">
        <v>3456</v>
      </c>
      <c r="F25" s="400">
        <f>SUMIF(86:86,E25,87:87)-SUMIF(86:86,C25,87:87)+100</f>
        <v>100</v>
      </c>
      <c r="G25" s="542" t="s">
        <v>3456</v>
      </c>
      <c r="H25" s="374">
        <f>SUMIF(86:86,G25,87:87)-SUMIF(86:86,C25,87:87)+100</f>
        <v>100</v>
      </c>
      <c r="I25" s="542" t="s">
        <v>3456</v>
      </c>
      <c r="J25" s="374">
        <f>SUMIF(86:86,I25,87:87)-SUMIF(86:86,C25,87:87)+100</f>
        <v>100</v>
      </c>
      <c r="K25" s="538">
        <v>3</v>
      </c>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503" t="s">
        <v>3459</v>
      </c>
      <c r="D26" s="374">
        <v>100</v>
      </c>
      <c r="E26" s="3503" t="s">
        <v>3460</v>
      </c>
      <c r="F26" s="400">
        <f>SUMIF(88:88,E26,89:89)-SUMIF(88:88,C26,89:89)+100</f>
        <v>97</v>
      </c>
      <c r="G26" s="3503" t="s">
        <v>3460</v>
      </c>
      <c r="H26" s="374">
        <f>SUMIF(88:88,G26,89:89)-SUMIF(88:88,C26,89:89)+100</f>
        <v>97</v>
      </c>
      <c r="I26" s="3503" t="s">
        <v>3460</v>
      </c>
      <c r="J26" s="374">
        <f>SUMIF(88:88,I26,89:89)-SUMIF(88:88,C26,89:89)+100</f>
        <v>97</v>
      </c>
      <c r="K26" s="539"/>
      <c r="L26" s="2493"/>
      <c r="M26" s="2488"/>
      <c r="N26" s="2488"/>
      <c r="O26" s="2488"/>
      <c r="P26" s="3378"/>
      <c r="Q26" s="1263" t="str">
        <f t="shared" si="11"/>
        <v>平面位置/可视性</v>
      </c>
      <c r="R26" s="667" t="s">
        <v>14</v>
      </c>
      <c r="S26" s="668">
        <f>F26</f>
        <v>97</v>
      </c>
      <c r="T26" s="667" t="s">
        <v>14</v>
      </c>
      <c r="U26" s="668">
        <f>H26</f>
        <v>97</v>
      </c>
      <c r="V26" s="667" t="s">
        <v>14</v>
      </c>
      <c r="W26" s="668">
        <f>J26</f>
        <v>97</v>
      </c>
      <c r="X26" s="1265"/>
      <c r="Y26" s="3371"/>
      <c r="Z26" s="1264" t="str">
        <f>Q26</f>
        <v>平面位置/可视性</v>
      </c>
      <c r="AA26" s="1264">
        <f t="shared" si="3"/>
        <v>1.0309278350515463</v>
      </c>
      <c r="AB26" s="1264">
        <f t="shared" si="4"/>
        <v>1.0309278350515463</v>
      </c>
      <c r="AC26" s="1264">
        <f t="shared" si="5"/>
        <v>1.0309278350515463</v>
      </c>
    </row>
    <row r="27" spans="1:29" s="102" customFormat="1" ht="15">
      <c r="A27" s="370"/>
      <c r="B27" s="390" t="s">
        <v>1782</v>
      </c>
      <c r="C27" s="1807" t="s">
        <v>3465</v>
      </c>
      <c r="D27" s="401">
        <v>100</v>
      </c>
      <c r="E27" s="1807" t="s">
        <v>3418</v>
      </c>
      <c r="F27" s="395">
        <f>SUMIF(90:90,E27,91:91)-SUMIF(90:90,C27,91:91)+100</f>
        <v>97</v>
      </c>
      <c r="G27" s="1807" t="s">
        <v>3465</v>
      </c>
      <c r="H27" s="401">
        <f>SUMIF(90:90,G27,91:91)-SUMIF(90:90,C27,91:91)+100</f>
        <v>100</v>
      </c>
      <c r="I27" s="1807" t="s">
        <v>3418</v>
      </c>
      <c r="J27" s="401">
        <f>SUMIF(90:90,I27,91:91)-SUMIF(90:90,C27,91:91)+100</f>
        <v>97</v>
      </c>
      <c r="K27" s="538">
        <v>3</v>
      </c>
      <c r="L27" s="2489"/>
      <c r="M27" s="2440"/>
      <c r="N27" s="2440"/>
      <c r="O27" s="2440"/>
      <c r="P27" s="3378"/>
      <c r="Q27" s="530" t="str">
        <f t="shared" si="11"/>
        <v>人流量</v>
      </c>
      <c r="R27" s="664" t="s">
        <v>14</v>
      </c>
      <c r="S27" s="665">
        <f>F27</f>
        <v>97</v>
      </c>
      <c r="T27" s="664" t="s">
        <v>14</v>
      </c>
      <c r="U27" s="665">
        <f>H27</f>
        <v>100</v>
      </c>
      <c r="V27" s="664" t="s">
        <v>14</v>
      </c>
      <c r="W27" s="665">
        <f>J27</f>
        <v>97</v>
      </c>
      <c r="X27" s="666"/>
      <c r="Y27" s="3371"/>
      <c r="Z27" s="50" t="str">
        <f>Q27</f>
        <v>人流量</v>
      </c>
      <c r="AA27" s="1264">
        <f>D27/F27</f>
        <v>1.0309278350515463</v>
      </c>
      <c r="AB27" s="1264">
        <f>D27/H27</f>
        <v>1</v>
      </c>
      <c r="AC27" s="1264">
        <f>D27/J27</f>
        <v>1.0309278350515463</v>
      </c>
    </row>
    <row r="28" spans="1:29" ht="15">
      <c r="A28" s="367"/>
      <c r="B28" s="364" t="s">
        <v>1783</v>
      </c>
      <c r="C28" s="542" t="s">
        <v>3488</v>
      </c>
      <c r="D28" s="374">
        <v>100</v>
      </c>
      <c r="E28" s="542">
        <v>1</v>
      </c>
      <c r="F28" s="400">
        <f>SUMIF(92:92,E28,93:93)-SUMIF(92:92,C28,93:93)+100</f>
        <v>118</v>
      </c>
      <c r="G28" s="542">
        <v>1</v>
      </c>
      <c r="H28" s="374">
        <f>SUMIF(92:92,G28,93:93)-SUMIF(92:92,C28,93:93)+100</f>
        <v>118</v>
      </c>
      <c r="I28" s="542" t="s">
        <v>3488</v>
      </c>
      <c r="J28" s="374">
        <f>SUMIF(92:92,I28,93:93)-SUMIF(92:92,C28,93:93)+100</f>
        <v>100</v>
      </c>
      <c r="K28" s="539"/>
      <c r="L28" s="2493"/>
      <c r="M28" s="2488"/>
      <c r="N28" s="2488"/>
      <c r="O28" s="2488"/>
      <c r="P28" s="3378"/>
      <c r="Q28" s="1263" t="str">
        <f t="shared" si="11"/>
        <v>楼层</v>
      </c>
      <c r="R28" s="667" t="s">
        <v>14</v>
      </c>
      <c r="S28" s="668">
        <f t="shared" ref="S28:S46" si="12">F28</f>
        <v>118</v>
      </c>
      <c r="T28" s="667" t="s">
        <v>14</v>
      </c>
      <c r="U28" s="668">
        <f t="shared" ref="U28:U46" si="13">H28</f>
        <v>118</v>
      </c>
      <c r="V28" s="667" t="s">
        <v>14</v>
      </c>
      <c r="W28" s="668">
        <f t="shared" ref="W28:W46" si="14">J28</f>
        <v>100</v>
      </c>
      <c r="X28" s="1265"/>
      <c r="Y28" s="3371"/>
      <c r="Z28" s="1264" t="str">
        <f t="shared" ref="Z28:Z46" si="15">Q28</f>
        <v>楼层</v>
      </c>
      <c r="AA28" s="1264">
        <f t="shared" si="3"/>
        <v>0.84745762711864403</v>
      </c>
      <c r="AB28" s="1264">
        <f t="shared" si="4"/>
        <v>0.84745762711864403</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t="s">
        <v>3473</v>
      </c>
      <c r="D32" s="405">
        <v>100</v>
      </c>
      <c r="E32" s="1764" t="s">
        <v>3473</v>
      </c>
      <c r="F32" s="400">
        <f>SUMIF(100:100,E32,101:101)-SUMIF(100:100,C32,101:101)+100</f>
        <v>100</v>
      </c>
      <c r="G32" s="1764" t="s">
        <v>3473</v>
      </c>
      <c r="H32" s="374">
        <f>SUMIF(100:100,G32,101:101)-SUMIF(100:100,C32,101:101)+100</f>
        <v>100</v>
      </c>
      <c r="I32" s="1764" t="s">
        <v>3473</v>
      </c>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475.8</v>
      </c>
      <c r="D33" s="119">
        <v>100</v>
      </c>
      <c r="E33" s="369">
        <v>78.5</v>
      </c>
      <c r="F33" s="364">
        <f>LOOKUP(E33,103:103,104:104)-LOOKUP(C33,103:103,104:104)+100</f>
        <v>104</v>
      </c>
      <c r="G33" s="368">
        <v>497.84</v>
      </c>
      <c r="H33" s="119">
        <f>LOOKUP(G33,103:103,104:104)-LOOKUP(C33,103:103,104:104)+100</f>
        <v>100</v>
      </c>
      <c r="I33" s="368">
        <v>520.70000000000005</v>
      </c>
      <c r="J33" s="119">
        <f>LOOKUP(I33,103:103,104:104)-LOOKUP(C33,103:103,104:104)+100</f>
        <v>98</v>
      </c>
      <c r="K33" s="539"/>
      <c r="L33" s="2492"/>
      <c r="M33" s="2494"/>
      <c r="N33" s="2494"/>
      <c r="O33" s="2494"/>
      <c r="P33" s="3373"/>
      <c r="Q33" s="531" t="str">
        <f t="shared" si="11"/>
        <v>项目建筑规模</v>
      </c>
      <c r="R33" s="669" t="s">
        <v>14</v>
      </c>
      <c r="S33" s="670">
        <f t="shared" si="12"/>
        <v>104</v>
      </c>
      <c r="T33" s="669" t="s">
        <v>14</v>
      </c>
      <c r="U33" s="670">
        <f t="shared" si="13"/>
        <v>100</v>
      </c>
      <c r="V33" s="669" t="s">
        <v>14</v>
      </c>
      <c r="W33" s="670">
        <f t="shared" si="14"/>
        <v>98</v>
      </c>
      <c r="X33" s="671"/>
      <c r="Y33" s="3375"/>
      <c r="Z33" s="672" t="str">
        <f t="shared" si="15"/>
        <v>项目建筑规模</v>
      </c>
      <c r="AA33" s="1264">
        <f t="shared" si="3"/>
        <v>0.96153846153846156</v>
      </c>
      <c r="AB33" s="1264">
        <f t="shared" si="4"/>
        <v>1</v>
      </c>
      <c r="AC33" s="1264">
        <f t="shared" si="5"/>
        <v>1.0204081632653061</v>
      </c>
    </row>
    <row r="34" spans="1:29" ht="15">
      <c r="A34" s="409"/>
      <c r="B34" s="364" t="s">
        <v>1698</v>
      </c>
      <c r="C34" s="399" t="s">
        <v>3424</v>
      </c>
      <c r="D34" s="374">
        <v>100</v>
      </c>
      <c r="E34" s="399" t="s">
        <v>3475</v>
      </c>
      <c r="F34" s="400">
        <f>SUMIF(105:105,E34,106:106)-SUMIF(105:105,C34,106:106)+100</f>
        <v>102</v>
      </c>
      <c r="G34" s="399" t="s">
        <v>3475</v>
      </c>
      <c r="H34" s="374">
        <f>SUMIF(105:105,G34,106:106)-SUMIF(105:105,C34,106:106)+100</f>
        <v>102</v>
      </c>
      <c r="I34" s="399" t="s">
        <v>3475</v>
      </c>
      <c r="J34" s="374">
        <f>SUMIF(105:105,I34,106:106)-SUMIF(105:105,C34,106:106)+100</f>
        <v>102</v>
      </c>
      <c r="K34" s="538">
        <v>2</v>
      </c>
      <c r="L34" s="2493"/>
      <c r="M34" s="2488"/>
      <c r="N34" s="2488"/>
      <c r="O34" s="2488"/>
      <c r="P34" s="3373"/>
      <c r="Q34" s="1263" t="str">
        <f t="shared" si="11"/>
        <v>建筑结构</v>
      </c>
      <c r="R34" s="667" t="s">
        <v>14</v>
      </c>
      <c r="S34" s="668">
        <f t="shared" si="12"/>
        <v>102</v>
      </c>
      <c r="T34" s="667" t="s">
        <v>14</v>
      </c>
      <c r="U34" s="668">
        <f t="shared" si="13"/>
        <v>102</v>
      </c>
      <c r="V34" s="667" t="s">
        <v>14</v>
      </c>
      <c r="W34" s="668">
        <f t="shared" si="14"/>
        <v>102</v>
      </c>
      <c r="X34" s="1265"/>
      <c r="Y34" s="3375"/>
      <c r="Z34" s="1264" t="str">
        <f t="shared" si="15"/>
        <v>建筑结构</v>
      </c>
      <c r="AA34" s="1264">
        <f t="shared" si="3"/>
        <v>0.98039215686274506</v>
      </c>
      <c r="AB34" s="1264">
        <f t="shared" si="4"/>
        <v>0.98039215686274506</v>
      </c>
      <c r="AC34" s="1264">
        <f t="shared" si="5"/>
        <v>0.98039215686274506</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v>0.6</v>
      </c>
      <c r="D36" s="374">
        <v>100</v>
      </c>
      <c r="E36" s="411">
        <v>0.6</v>
      </c>
      <c r="F36" s="400">
        <f>LOOKUP(E36,110:110,111:111)-LOOKUP(C36,110:110,111:111)+100</f>
        <v>100</v>
      </c>
      <c r="G36" s="411">
        <v>0.6</v>
      </c>
      <c r="H36" s="400">
        <f>LOOKUP(G36,110:110,111:111)-LOOKUP(C36,110:110,111:111)+100</f>
        <v>100</v>
      </c>
      <c r="I36" s="411">
        <v>0.6</v>
      </c>
      <c r="J36" s="374">
        <f>LOOKUP(I36,110:110,111:111)-LOOKUP(C36,110:110,111:111)+100</f>
        <v>100</v>
      </c>
      <c r="K36" s="538"/>
      <c r="L36" s="2493"/>
      <c r="M36" s="2488"/>
      <c r="N36" s="2488"/>
      <c r="O36" s="2488"/>
      <c r="P36" s="3373"/>
      <c r="Q36" s="1263" t="str">
        <f t="shared" si="11"/>
        <v>成新度</v>
      </c>
      <c r="R36" s="667" t="s">
        <v>14</v>
      </c>
      <c r="S36" s="668">
        <f t="shared" si="12"/>
        <v>100</v>
      </c>
      <c r="T36" s="667" t="s">
        <v>14</v>
      </c>
      <c r="U36" s="668">
        <f t="shared" si="13"/>
        <v>100</v>
      </c>
      <c r="V36" s="667" t="s">
        <v>14</v>
      </c>
      <c r="W36" s="668">
        <f t="shared" si="14"/>
        <v>100</v>
      </c>
      <c r="X36" s="1265"/>
      <c r="Y36" s="337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t="s">
        <v>3430</v>
      </c>
      <c r="D38" s="374">
        <v>100</v>
      </c>
      <c r="E38" s="1760" t="s">
        <v>3430</v>
      </c>
      <c r="F38" s="400">
        <f>SUMIF(114:114,E38,115:115)-SUMIF(114:114,C38,115:115)+100</f>
        <v>100</v>
      </c>
      <c r="G38" s="1760" t="s">
        <v>3428</v>
      </c>
      <c r="H38" s="374">
        <f>SUMIF(114:114,G38,115:115)-SUMIF(114:114,C38,115:115)+100</f>
        <v>80</v>
      </c>
      <c r="I38" s="1760" t="s">
        <v>3430</v>
      </c>
      <c r="J38" s="374">
        <f>SUMIF(114:114,I38,115:115)-SUMIF(114:114,C38,115:115)+100</f>
        <v>100</v>
      </c>
      <c r="K38" s="538">
        <v>20</v>
      </c>
      <c r="L38" s="2493"/>
      <c r="M38" s="2488"/>
      <c r="N38" s="2488"/>
      <c r="O38" s="2488"/>
      <c r="P38" s="3373" t="s">
        <v>1696</v>
      </c>
      <c r="Q38" s="1263" t="str">
        <f t="shared" si="11"/>
        <v>业态</v>
      </c>
      <c r="R38" s="667" t="s">
        <v>14</v>
      </c>
      <c r="S38" s="668">
        <f t="shared" si="12"/>
        <v>100</v>
      </c>
      <c r="T38" s="667" t="s">
        <v>14</v>
      </c>
      <c r="U38" s="668">
        <f t="shared" si="13"/>
        <v>80</v>
      </c>
      <c r="V38" s="667" t="s">
        <v>14</v>
      </c>
      <c r="W38" s="668">
        <f t="shared" si="14"/>
        <v>100</v>
      </c>
      <c r="X38" s="1265"/>
      <c r="Y38" s="3375" t="s">
        <v>1696</v>
      </c>
      <c r="Z38" s="1264" t="str">
        <f t="shared" si="15"/>
        <v>业态</v>
      </c>
      <c r="AA38" s="1264">
        <f t="shared" si="3"/>
        <v>1</v>
      </c>
      <c r="AB38" s="1264">
        <f t="shared" si="4"/>
        <v>1.25</v>
      </c>
      <c r="AC38" s="1264">
        <f t="shared" si="5"/>
        <v>1</v>
      </c>
    </row>
    <row r="39" spans="1:29" ht="15">
      <c r="A39" s="409"/>
      <c r="B39" s="364" t="s">
        <v>1789</v>
      </c>
      <c r="C39" s="1760" t="s">
        <v>3481</v>
      </c>
      <c r="D39" s="374">
        <v>100</v>
      </c>
      <c r="E39" s="1760" t="s">
        <v>3481</v>
      </c>
      <c r="F39" s="400">
        <f>SUMIF(116:116,E39,117:117)-SUMIF(116:116,C39,117:117)+100</f>
        <v>100</v>
      </c>
      <c r="G39" s="1760" t="s">
        <v>3481</v>
      </c>
      <c r="H39" s="374">
        <f>SUMIF(116:116,G39,117:117)-SUMIF(116:116,C39,117:117)+100</f>
        <v>100</v>
      </c>
      <c r="I39" s="1760" t="s">
        <v>3481</v>
      </c>
      <c r="J39" s="374">
        <f>SUMIF(116:116,I39,117:117)-SUMIF(116:116,C39,117:117)+100</f>
        <v>100</v>
      </c>
      <c r="K39" s="538">
        <v>5</v>
      </c>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t="s">
        <v>3483</v>
      </c>
      <c r="D42" s="374">
        <v>100</v>
      </c>
      <c r="E42" s="1760" t="s">
        <v>3483</v>
      </c>
      <c r="F42" s="400">
        <f>SUMIF(122:122,E42,123:123)-SUMIF(122:122,C42,123:123)+100</f>
        <v>100</v>
      </c>
      <c r="G42" s="1760" t="s">
        <v>3485</v>
      </c>
      <c r="H42" s="374">
        <f>SUMIF(122:122,G42,123:123)-SUMIF(122:122,C42,123:123)+100</f>
        <v>98</v>
      </c>
      <c r="I42" s="1760" t="s">
        <v>3485</v>
      </c>
      <c r="J42" s="374">
        <f>SUMIF(122:122,I42,123:123)-SUMIF(122:122,C42,123:123)+100</f>
        <v>98</v>
      </c>
      <c r="K42" s="538">
        <v>2</v>
      </c>
      <c r="L42" s="2493"/>
      <c r="M42" s="2488"/>
      <c r="N42" s="2488"/>
      <c r="O42" s="2488"/>
      <c r="P42" s="3373"/>
      <c r="Q42" s="1263" t="str">
        <f t="shared" si="11"/>
        <v>内部装修</v>
      </c>
      <c r="R42" s="667" t="s">
        <v>14</v>
      </c>
      <c r="S42" s="668">
        <f t="shared" si="12"/>
        <v>100</v>
      </c>
      <c r="T42" s="667" t="s">
        <v>14</v>
      </c>
      <c r="U42" s="668">
        <f t="shared" si="13"/>
        <v>98</v>
      </c>
      <c r="V42" s="667" t="s">
        <v>14</v>
      </c>
      <c r="W42" s="668">
        <f t="shared" si="14"/>
        <v>98</v>
      </c>
      <c r="X42" s="1265"/>
      <c r="Y42" s="3375"/>
      <c r="Z42" s="1264" t="str">
        <f t="shared" si="15"/>
        <v>内部装修</v>
      </c>
      <c r="AA42" s="1264">
        <f t="shared" si="3"/>
        <v>1</v>
      </c>
      <c r="AB42" s="1264">
        <f t="shared" si="4"/>
        <v>1.0204081632653061</v>
      </c>
      <c r="AC42" s="1264">
        <f t="shared" si="5"/>
        <v>1.0204081632653061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v>65200</v>
      </c>
      <c r="F47" s="420"/>
      <c r="G47" s="421">
        <v>54235</v>
      </c>
      <c r="H47" s="422"/>
      <c r="I47" s="419">
        <v>53774</v>
      </c>
      <c r="J47" s="422"/>
      <c r="K47" s="674"/>
      <c r="L47" s="2495"/>
      <c r="M47" s="2488"/>
      <c r="N47" s="2488"/>
      <c r="O47" s="2488"/>
      <c r="P47" s="3368" t="str">
        <f>A47</f>
        <v>成交单价（元/平方米）</v>
      </c>
      <c r="Q47" s="3368"/>
      <c r="R47" s="3369">
        <f>E47</f>
        <v>65200</v>
      </c>
      <c r="S47" s="3369"/>
      <c r="T47" s="3369">
        <f>G47</f>
        <v>54235</v>
      </c>
      <c r="U47" s="3369"/>
      <c r="V47" s="3369">
        <f>I47</f>
        <v>53774</v>
      </c>
      <c r="W47" s="3369"/>
      <c r="X47" s="385"/>
      <c r="Y47" s="673"/>
      <c r="Z47" s="385"/>
      <c r="AA47" s="385"/>
      <c r="AB47" s="385"/>
      <c r="AC47" s="385"/>
    </row>
    <row r="48" spans="1:29" ht="15.75" thickBot="1">
      <c r="A48" s="423" t="s">
        <v>1793</v>
      </c>
      <c r="B48" s="424"/>
      <c r="C48" s="1082">
        <f>R49</f>
        <v>57520</v>
      </c>
      <c r="D48" s="2141" t="s">
        <v>2138</v>
      </c>
      <c r="E48" s="1083">
        <f>R48</f>
        <v>53417</v>
      </c>
      <c r="F48" s="2142"/>
      <c r="G48" s="1082">
        <f>T48</f>
        <v>60033</v>
      </c>
      <c r="H48" s="2142"/>
      <c r="I48" s="1083">
        <f>V48</f>
        <v>59110</v>
      </c>
      <c r="J48" s="2142"/>
      <c r="K48" s="2144">
        <f>F48+H48+J48</f>
        <v>0</v>
      </c>
      <c r="L48" s="2495"/>
      <c r="M48" s="2488"/>
      <c r="N48" s="2488"/>
      <c r="O48" s="2488"/>
      <c r="P48" s="3368" t="str">
        <f>A48</f>
        <v>比较价值（元/平方米）</v>
      </c>
      <c r="Q48" s="3368"/>
      <c r="R48" s="3369">
        <f>IF(F1="售价",ROUND(PRODUCT(R47,AA7:AA46),0),ROUND(PRODUCT(R47,AA7:AA46),1))</f>
        <v>53417</v>
      </c>
      <c r="S48" s="3369"/>
      <c r="T48" s="3369">
        <f>IF(F1="售价",ROUND(PRODUCT(T47,AB7:AB46),0),ROUND(PRODUCT(T47,AB7:AB46),1))</f>
        <v>60033</v>
      </c>
      <c r="U48" s="3369"/>
      <c r="V48" s="3369">
        <f>IF(F1="售价",ROUND(PRODUCT(V47,AC7:AC46),0),ROUND(PRODUCT(V47,AC7:AC46),1))</f>
        <v>59110</v>
      </c>
      <c r="W48" s="3369"/>
      <c r="X48" s="385"/>
      <c r="Y48" s="385"/>
      <c r="Z48" s="385"/>
      <c r="AA48" s="385"/>
      <c r="AB48" s="385"/>
      <c r="AC48" s="385"/>
    </row>
    <row r="49" spans="1:29" ht="15.75" thickBot="1">
      <c r="A49" s="427" t="s">
        <v>1794</v>
      </c>
      <c r="B49" s="428"/>
      <c r="C49" s="351">
        <f>R49</f>
        <v>57520</v>
      </c>
      <c r="D49" s="351"/>
      <c r="E49" s="351"/>
      <c r="F49" s="351"/>
      <c r="G49" s="351"/>
      <c r="H49" s="351"/>
      <c r="I49" s="351"/>
      <c r="J49" s="351"/>
      <c r="K49" s="675"/>
      <c r="L49" s="2495"/>
      <c r="M49" s="2488"/>
      <c r="N49" s="2488"/>
      <c r="O49" s="2488"/>
      <c r="P49" s="3365" t="str">
        <f>A49</f>
        <v>估价对象XX用房的比较价值（楼面单价，元/平方米）</v>
      </c>
      <c r="Q49" s="3366"/>
      <c r="R49" s="3367">
        <f>IF(F1="售价",ROUND(IF(D48="简单平均",AVERAGE(R48:V48),R48*F48+T48*H48+V48*J48),0),ROUND(IF(D48="简单平均",AVERAGE(R48:V48),R48*F48+T48*H48+V48*J48),1))</f>
        <v>57520</v>
      </c>
      <c r="S49" s="3367"/>
      <c r="T49" s="3367"/>
      <c r="U49" s="3367"/>
      <c r="V49" s="3367"/>
      <c r="W49" s="3367"/>
      <c r="X49" s="385"/>
      <c r="Y49" s="385"/>
      <c r="Z49" s="385"/>
      <c r="AA49" s="385"/>
      <c r="AB49" s="385"/>
      <c r="AC49" s="385"/>
    </row>
    <row r="50" spans="1:29">
      <c r="A50" s="2488"/>
      <c r="B50" s="2488"/>
      <c r="C50" s="2488"/>
      <c r="D50" s="2488"/>
      <c r="E50" s="2488">
        <v>2003</v>
      </c>
      <c r="F50" s="2488"/>
      <c r="G50" s="3495">
        <v>2000</v>
      </c>
      <c r="H50" s="2488"/>
      <c r="I50" s="2488">
        <v>1989</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0.22058520695658679</v>
      </c>
      <c r="F52" s="435" t="str">
        <f>IF(OR(E52&gt;=0.3,E52&lt;=-0.3),"超过30%","")</f>
        <v/>
      </c>
      <c r="G52" s="434">
        <f>IF(G47&lt;G48,G48/G47-1,G47/G48-1)</f>
        <v>0.10690513506038535</v>
      </c>
      <c r="H52" s="435" t="str">
        <f>IF(OR(G52&gt;=0.3,G52&lt;=-0.3),"超过30%","")</f>
        <v/>
      </c>
      <c r="I52" s="434">
        <f>IF(I47&lt;I48,I48/I47-1,I47/I48-1)</f>
        <v>9.92301112061591E-2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0.12385570136847823</v>
      </c>
      <c r="F53" s="435" t="str">
        <f>IF(OR(E53&gt;=0.2,E53&lt;=-0.2),"超过20%","")</f>
        <v/>
      </c>
      <c r="G53" s="434">
        <f>IF(G48&lt;I48,I48/G48-1,G48/I48-1)</f>
        <v>1.5614955168330225E-2</v>
      </c>
      <c r="H53" s="435" t="str">
        <f>IF(OR(G53&gt;=0.2,G53&lt;=-0.2),"超过20%","")</f>
        <v/>
      </c>
      <c r="I53" s="434">
        <f>IF(I48&lt;E48,E48/I48-1,I48/E48-1)</f>
        <v>0.10657655802459898</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0.20217571678805202</v>
      </c>
      <c r="F54" s="435" t="str">
        <f>IF(OR(E54&gt;=0.3,E54&lt;=-0.3),"超过30%","")</f>
        <v/>
      </c>
      <c r="G54" s="434">
        <f>IF(G47&lt;I47,I47/G47-1,G47/I47-1)</f>
        <v>8.572916279242726E-3</v>
      </c>
      <c r="H54" s="435" t="str">
        <f>IF(OR(G54&gt;=0.3,G54&lt;=-0.3),"超过30%","")</f>
        <v/>
      </c>
      <c r="I54" s="434">
        <f>IF(I47&lt;E47,E47/I47-1,I47/E47-1)</f>
        <v>0.21248186856101459</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491" t="s">
        <v>3433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3441</v>
      </c>
      <c r="D65" s="513" t="s">
        <v>3442</v>
      </c>
      <c r="E65" s="513" t="s">
        <v>3443</v>
      </c>
      <c r="F65" s="513"/>
      <c r="G65" s="513"/>
      <c r="H65" s="513"/>
      <c r="I65" s="513"/>
      <c r="J65" s="513"/>
      <c r="K65" s="514"/>
      <c r="L65" s="515"/>
      <c r="M65" s="516"/>
      <c r="N65" s="2522">
        <v>3</v>
      </c>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f>C66-$N$65</f>
        <v>97</v>
      </c>
      <c r="E66" s="467">
        <f>D66-$N$65</f>
        <v>94</v>
      </c>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499" t="s">
        <v>3454</v>
      </c>
      <c r="D86" s="3499" t="s">
        <v>3455</v>
      </c>
      <c r="E86" s="3499" t="s">
        <v>3457</v>
      </c>
      <c r="F86" s="3499" t="s">
        <v>3458</v>
      </c>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499" t="s">
        <v>3459</v>
      </c>
      <c r="D88" s="3499" t="s">
        <v>3460</v>
      </c>
      <c r="E88" s="3499" t="s">
        <v>3461</v>
      </c>
      <c r="F88" s="3500" t="s">
        <v>3462</v>
      </c>
      <c r="G88" s="3499" t="s">
        <v>3463</v>
      </c>
      <c r="H88" s="485"/>
      <c r="I88" s="485"/>
      <c r="J88" s="485"/>
      <c r="K88" s="485"/>
      <c r="L88" s="485"/>
      <c r="M88" s="511"/>
      <c r="N88" s="2521" t="s">
        <v>3469</v>
      </c>
      <c r="O88" s="2521">
        <v>100</v>
      </c>
      <c r="P88" s="2514">
        <f>ROUND(O88*P90/O90,0)</f>
        <v>118</v>
      </c>
      <c r="Q88" s="2509"/>
      <c r="R88" s="2440"/>
      <c r="S88" s="2440"/>
      <c r="T88" s="2440"/>
      <c r="U88" s="2440"/>
      <c r="V88" s="2440"/>
      <c r="W88" s="2440"/>
      <c r="X88" s="2440"/>
      <c r="Y88" s="2440"/>
      <c r="Z88" s="2440"/>
      <c r="AA88" s="2440"/>
      <c r="AB88" s="2440"/>
      <c r="AC88" s="2440"/>
    </row>
    <row r="89" spans="1:29" s="102" customFormat="1" ht="15.75" thickBot="1">
      <c r="A89" s="370"/>
      <c r="B89" s="474"/>
      <c r="C89" s="491">
        <f>C91</f>
        <v>100</v>
      </c>
      <c r="D89" s="491">
        <f t="shared" ref="D89:G89" si="21">D91</f>
        <v>97</v>
      </c>
      <c r="E89" s="491">
        <f t="shared" si="21"/>
        <v>94</v>
      </c>
      <c r="F89" s="491">
        <f t="shared" si="21"/>
        <v>91</v>
      </c>
      <c r="G89" s="491">
        <f t="shared" si="21"/>
        <v>88</v>
      </c>
      <c r="H89" s="467"/>
      <c r="I89" s="467"/>
      <c r="J89" s="467"/>
      <c r="K89" s="467"/>
      <c r="L89" s="467"/>
      <c r="M89" s="467"/>
      <c r="N89" s="2523" t="s">
        <v>3470</v>
      </c>
      <c r="O89" s="2523">
        <v>70</v>
      </c>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499" t="s">
        <v>3464</v>
      </c>
      <c r="D90" s="3499" t="s">
        <v>3466</v>
      </c>
      <c r="E90" s="3499" t="s">
        <v>3461</v>
      </c>
      <c r="F90" s="3499" t="s">
        <v>3467</v>
      </c>
      <c r="G90" s="3499" t="s">
        <v>3468</v>
      </c>
      <c r="H90" s="486"/>
      <c r="I90" s="486"/>
      <c r="J90" s="486"/>
      <c r="K90" s="486"/>
      <c r="L90" s="487"/>
      <c r="M90" s="488"/>
      <c r="N90" s="2524" t="s">
        <v>3471</v>
      </c>
      <c r="O90" s="2524">
        <v>85</v>
      </c>
      <c r="P90" s="2515">
        <v>100</v>
      </c>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v>1</v>
      </c>
      <c r="D92" s="485" t="s">
        <v>3472</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f>P88</f>
        <v>118</v>
      </c>
      <c r="D93" s="467">
        <v>100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501" t="s">
        <v>3474</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4">D103&amp;"(含)"&amp;"-"&amp;E103</f>
        <v>50(含)-100</v>
      </c>
      <c r="E102" s="509" t="str">
        <f t="shared" si="24"/>
        <v>100(含)-300</v>
      </c>
      <c r="F102" s="509" t="str">
        <f t="shared" si="24"/>
        <v>300(含)-500</v>
      </c>
      <c r="G102" s="509" t="str">
        <f t="shared" si="24"/>
        <v>500(含)-800</v>
      </c>
      <c r="H102" s="509" t="str">
        <f t="shared" si="24"/>
        <v>800(含)-</v>
      </c>
      <c r="I102" s="509" t="str">
        <f t="shared" si="24"/>
        <v>(含)-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300</v>
      </c>
      <c r="G103" s="6">
        <v>500</v>
      </c>
      <c r="H103" s="6">
        <v>800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98</v>
      </c>
      <c r="E104" s="467">
        <v>96</v>
      </c>
      <c r="F104" s="467">
        <v>94</v>
      </c>
      <c r="G104" s="467">
        <v>92</v>
      </c>
      <c r="H104" s="467">
        <v>90</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499" t="s">
        <v>3476</v>
      </c>
      <c r="D105" s="3499" t="s">
        <v>3489</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499" t="s">
        <v>3477</v>
      </c>
      <c r="D107" s="3499" t="s">
        <v>3484</v>
      </c>
      <c r="E107" s="3499" t="s">
        <v>3486</v>
      </c>
      <c r="F107" s="3502" t="s">
        <v>3487</v>
      </c>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499" t="s">
        <v>3478</v>
      </c>
      <c r="D114" s="3499" t="s">
        <v>3479</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80</v>
      </c>
      <c r="E115" s="475">
        <f t="shared" si="29"/>
        <v>60</v>
      </c>
      <c r="F115" s="475">
        <f t="shared" si="29"/>
        <v>40</v>
      </c>
      <c r="G115" s="475">
        <f t="shared" si="29"/>
        <v>20</v>
      </c>
      <c r="H115" s="475">
        <f t="shared" si="29"/>
        <v>0</v>
      </c>
      <c r="I115" s="475">
        <f t="shared" si="29"/>
        <v>-20</v>
      </c>
      <c r="J115" s="475">
        <f t="shared" si="29"/>
        <v>-40</v>
      </c>
      <c r="K115" s="475">
        <f t="shared" si="29"/>
        <v>-60</v>
      </c>
      <c r="L115" s="475">
        <f t="shared" si="29"/>
        <v>-80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499" t="s">
        <v>3480</v>
      </c>
      <c r="D116" s="3499" t="s">
        <v>3482</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499" t="s">
        <v>3477</v>
      </c>
      <c r="D122" s="3499" t="s">
        <v>3484</v>
      </c>
      <c r="E122" s="3499" t="s">
        <v>3486</v>
      </c>
      <c r="F122" s="3502" t="s">
        <v>3487</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8BB08-1ED5-4317-9588-15C17DBD501B}">
  <sheetPr>
    <tabColor rgb="FF92D050"/>
  </sheetPr>
  <dimension ref="S63:S87"/>
  <sheetViews>
    <sheetView topLeftCell="A67" workbookViewId="0">
      <selection activeCell="S88" sqref="S88"/>
    </sheetView>
  </sheetViews>
  <sheetFormatPr defaultRowHeight="14.25"/>
  <cols>
    <col min="1" max="16384" width="9" style="3490"/>
  </cols>
  <sheetData>
    <row r="63" spans="19:19">
      <c r="S63" s="3490" t="s">
        <v>3429</v>
      </c>
    </row>
    <row r="87" spans="19:19">
      <c r="S87" s="3490" t="s">
        <v>3431</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J37" sqref="J3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3410</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2447.2815999999998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51435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16725804.300000001</v>
      </c>
      <c r="D5" s="203" t="s">
        <v>1469</v>
      </c>
      <c r="E5" s="204" t="s">
        <v>1470</v>
      </c>
      <c r="F5" s="204" t="s">
        <v>1471</v>
      </c>
      <c r="G5" s="205"/>
    </row>
    <row r="6" spans="1:8" s="206" customFormat="1" ht="13.5" customHeight="1">
      <c r="A6" s="732" t="s">
        <v>1472</v>
      </c>
      <c r="B6" s="207" t="s">
        <v>1473</v>
      </c>
      <c r="C6" s="208">
        <f>基准地价修正!T2*基准地价修正!U2+基准地价修正!T3*基准地价修正!U3</f>
        <v>16138422.300000001</v>
      </c>
      <c r="D6" s="209"/>
      <c r="E6" s="210"/>
      <c r="F6" s="210"/>
      <c r="G6" s="211"/>
    </row>
    <row r="7" spans="1:8" s="206" customFormat="1" ht="13.5" customHeight="1">
      <c r="A7" s="732" t="s">
        <v>1474</v>
      </c>
      <c r="B7" s="207" t="s">
        <v>1475</v>
      </c>
      <c r="C7" s="212">
        <f>ROUND(C6*F7,0)</f>
        <v>492222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95160</v>
      </c>
      <c r="D8" s="214"/>
      <c r="E8" s="212"/>
      <c r="F8" s="213"/>
      <c r="G8" s="1714" t="s">
        <v>3420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95160</v>
      </c>
      <c r="D10" s="795">
        <f ca="1">IF(B1="",'数据-汇总表'!E6,IF(INDIRECT("'数据-取费表'!c"&amp;$G$1)="住宅",INDIRECT("'数据-取费表'!s"&amp;$G$1),INDIRECT("'数据-取费表'!k"&amp;$G$1)+INDIRECT("'数据-取费表'!s"&amp;$G$1)))</f>
        <v>475.8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475.8</v>
      </c>
      <c r="E19" s="203">
        <f>'数据-取费表'!B31</f>
        <v>200</v>
      </c>
      <c r="F19" s="223"/>
      <c r="G19" s="1714" t="s">
        <v>3421</v>
      </c>
    </row>
    <row r="20" spans="1:7" s="206" customFormat="1" ht="13.5" customHeight="1">
      <c r="A20" s="247" t="s">
        <v>1574</v>
      </c>
      <c r="B20" s="202" t="s">
        <v>1575</v>
      </c>
      <c r="C20" s="224">
        <f ca="1">ROUND((C5+C19)*F20,0)</f>
        <v>334516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1063443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1053073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10370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3412064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3412064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23355197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1367925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1189500</v>
      </c>
      <c r="D34" s="209"/>
      <c r="E34" s="212"/>
      <c r="F34" s="249"/>
      <c r="G34" s="211"/>
    </row>
    <row r="35" spans="1:7" ht="13.5" customHeight="1">
      <c r="A35" s="734" t="s">
        <v>351</v>
      </c>
      <c r="B35" s="207" t="s">
        <v>1527</v>
      </c>
      <c r="C35" s="212">
        <f ca="1">ROUND(C34*F35,0)</f>
        <v>59475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95160</v>
      </c>
      <c r="D37" s="209">
        <f ca="1">D19</f>
        <v>475.8</v>
      </c>
      <c r="E37" s="241">
        <f>'数据-取费表'!B35</f>
        <v>200</v>
      </c>
      <c r="F37" s="251"/>
      <c r="G37" s="253"/>
    </row>
    <row r="38" spans="1:7" ht="13.5" customHeight="1">
      <c r="A38" s="734" t="s">
        <v>354</v>
      </c>
      <c r="B38" s="207" t="s">
        <v>1533</v>
      </c>
      <c r="C38" s="212">
        <f ca="1">ROUND(C34*F38,0)</f>
        <v>23790</v>
      </c>
      <c r="D38" s="212"/>
      <c r="E38" s="212"/>
      <c r="F38" s="251">
        <f>'数据-取费表'!B36</f>
        <v>0.02</v>
      </c>
      <c r="G38" s="211" t="s">
        <v>1528</v>
      </c>
    </row>
    <row r="39" spans="1:7" s="206" customFormat="1" ht="13.5" customHeight="1">
      <c r="A39" s="247" t="s">
        <v>1534</v>
      </c>
      <c r="B39" s="202" t="s">
        <v>1535</v>
      </c>
      <c r="C39" s="224">
        <f ca="1">ROUND(C33*F20,0)</f>
        <v>27359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43254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42406</v>
      </c>
      <c r="D42" s="230"/>
      <c r="E42" s="230"/>
      <c r="F42" s="231"/>
      <c r="G42" s="3336" t="s">
        <v>1591</v>
      </c>
    </row>
    <row r="43" spans="1:7" ht="13.5" customHeight="1">
      <c r="A43" s="734" t="s">
        <v>347</v>
      </c>
      <c r="B43" s="207" t="s">
        <v>1545</v>
      </c>
      <c r="C43" s="230">
        <f ca="1">ROUND(IF('数据-取费表'!B22&lt;=1,C39*F22*'数据-取费表'!B20/2,C39*(POWER((1+F22),'数据-取费表'!B20/2)-1)),0)</f>
        <v>848</v>
      </c>
      <c r="D43" s="230"/>
      <c r="E43" s="230"/>
      <c r="F43" s="231"/>
      <c r="G43" s="3337"/>
    </row>
    <row r="44" spans="1:7" ht="13.5" customHeight="1">
      <c r="A44" s="734" t="s">
        <v>348</v>
      </c>
      <c r="B44" s="207" t="s">
        <v>1546</v>
      </c>
      <c r="C44" s="230">
        <f ca="1">ROUND(IF('数据-取费表'!B22&lt;=1,C40*F22*'数据-取费表'!B20/2,C40*(POWER((1+F22),'数据-取费表'!B20/2)-1)),4)</f>
        <v>5.9999999999999995E-4</v>
      </c>
      <c r="D44" s="230"/>
      <c r="E44" s="230"/>
      <c r="F44" s="231"/>
      <c r="G44" s="3338"/>
    </row>
    <row r="45" spans="1:7" s="206" customFormat="1" ht="13.5" customHeight="1">
      <c r="A45" s="247" t="s">
        <v>1547</v>
      </c>
      <c r="B45" s="236" t="s">
        <v>1513</v>
      </c>
      <c r="C45" s="237">
        <f ca="1">C46</f>
        <v>279057</v>
      </c>
      <c r="D45" s="227">
        <f ca="1">C47</f>
        <v>4.0000000000000001E-3</v>
      </c>
      <c r="E45" s="228" t="s">
        <v>1539</v>
      </c>
      <c r="F45" s="238">
        <f ca="1">F27</f>
        <v>0.2</v>
      </c>
      <c r="G45" s="239" t="s">
        <v>1548</v>
      </c>
    </row>
    <row r="46" spans="1:7" s="206" customFormat="1" ht="13.5" customHeight="1">
      <c r="A46" s="734" t="s">
        <v>346</v>
      </c>
      <c r="B46" s="240" t="s">
        <v>1549</v>
      </c>
      <c r="C46" s="241">
        <f ca="1">ROUND((C33+C39)*F27,0)</f>
        <v>279057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1862699</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1117619</v>
      </c>
      <c r="D51" s="224"/>
      <c r="E51" s="224"/>
      <c r="F51" s="256"/>
      <c r="G51" s="226" t="s">
        <v>1560</v>
      </c>
    </row>
    <row r="52" spans="1:7" s="200" customFormat="1" ht="16.5" thickBot="1">
      <c r="A52" s="257" t="s">
        <v>1561</v>
      </c>
      <c r="B52" s="258"/>
      <c r="C52" s="259">
        <f ca="1">C31+C51</f>
        <v>24472816</v>
      </c>
      <c r="D52" s="258"/>
      <c r="E52" s="258"/>
      <c r="F52" s="258"/>
      <c r="G52" s="260"/>
    </row>
    <row r="55" spans="1:7" ht="15">
      <c r="B55" s="262" t="s">
        <v>1562</v>
      </c>
      <c r="C55" s="263"/>
    </row>
    <row r="56" spans="1:7">
      <c r="B56" s="265" t="s">
        <v>802</v>
      </c>
      <c r="C56" s="267">
        <f ca="1">1-C57</f>
        <v>0.95399999999999996</v>
      </c>
    </row>
    <row r="57" spans="1:7">
      <c r="B57" s="265" t="s">
        <v>803</v>
      </c>
      <c r="C57" s="266">
        <f ca="1">ROUND(C51/C52,3)</f>
        <v>4.5999999999999999E-2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-12</v>
      </c>
      <c r="C2" s="268" t="s">
        <v>1595</v>
      </c>
      <c r="D2" s="268"/>
      <c r="E2" s="2568"/>
      <c r="F2" s="2568"/>
      <c r="G2" s="2568"/>
      <c r="H2" s="2568"/>
      <c r="I2" s="2568"/>
      <c r="J2" s="2568"/>
      <c r="K2" s="2568"/>
    </row>
    <row r="3" spans="1:33" ht="18" customHeight="1" thickBot="1">
      <c r="A3" s="195" t="s">
        <v>1464</v>
      </c>
      <c r="B3" s="196">
        <f ca="1">ROUND(B2*10000/IF(C1="",'数据-汇总表'!E3,INDIRECT("'数据-取费表'!K"&amp;$K$1)),0)</f>
        <v>-252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475.8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475.8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10</v>
      </c>
      <c r="D20" s="796">
        <f ca="1">IF(C1="",'数据-汇总表'!E6,IF(INDIRECT("'数据-取费表'!c"&amp;$K$1)="住宅",INDIRECT("'数据-取费表'!s"&amp;$K$1),INDIRECT("'数据-取费表'!k"&amp;$K$1)+INDIRECT("'数据-取费表'!s"&amp;$K$1)))</f>
        <v>475.8</v>
      </c>
      <c r="E20" s="21">
        <f>'数据-取费表'!B28</f>
        <v>200</v>
      </c>
      <c r="F20" s="756"/>
      <c r="G20" s="12"/>
      <c r="H20" s="761"/>
      <c r="I20" s="761"/>
      <c r="J20" s="761"/>
      <c r="K20" s="762"/>
    </row>
    <row r="21" spans="1:33" s="755" customFormat="1" ht="13.5" customHeight="1">
      <c r="A21" s="744" t="s">
        <v>357</v>
      </c>
      <c r="B21" s="765" t="s">
        <v>1628</v>
      </c>
      <c r="C21" s="766">
        <f ca="1">C16+C17+C18</f>
        <v>10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350" t="s">
        <v>2317</v>
      </c>
      <c r="K2" s="335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2" t="s">
        <v>2327</v>
      </c>
      <c r="K3" s="335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2" t="s">
        <v>2329</v>
      </c>
      <c r="K4" s="335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8" t="s">
        <v>2333</v>
      </c>
      <c r="B6" s="3359"/>
      <c r="C6" s="3360"/>
      <c r="D6" s="2622"/>
      <c r="E6" s="2623"/>
      <c r="F6" s="2624"/>
      <c r="G6" s="2625"/>
      <c r="H6" s="2600"/>
      <c r="I6" s="2601"/>
      <c r="J6" s="3344">
        <v>1</v>
      </c>
      <c r="K6" s="33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44"/>
      <c r="K7" s="334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1" t="s">
        <v>2347</v>
      </c>
      <c r="C8" s="3362"/>
      <c r="D8" s="2641" t="s">
        <v>2348</v>
      </c>
      <c r="E8" s="2642" t="s">
        <v>2349</v>
      </c>
      <c r="F8" s="2643" t="s">
        <v>2350</v>
      </c>
      <c r="G8" s="2644"/>
      <c r="H8" s="2600"/>
      <c r="I8" s="2601"/>
      <c r="J8" s="3344"/>
      <c r="K8" s="334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1" t="s">
        <v>2353</v>
      </c>
      <c r="C9" s="3362"/>
      <c r="D9" s="2641">
        <f>ROUND(D6*E9,0)</f>
        <v>0</v>
      </c>
      <c r="E9" s="2645"/>
      <c r="F9" s="2646" t="s">
        <v>2354</v>
      </c>
      <c r="G9" s="2625"/>
      <c r="H9" s="2600"/>
      <c r="I9" s="2601"/>
      <c r="J9" s="3344"/>
      <c r="K9" s="3346"/>
      <c r="L9" s="2635" t="s">
        <v>2355</v>
      </c>
      <c r="M9" s="2636"/>
      <c r="N9" s="2612"/>
      <c r="O9" s="2637"/>
      <c r="P9" s="2637"/>
      <c r="Q9" s="2638">
        <v>365</v>
      </c>
      <c r="R9" s="2639">
        <f t="shared" si="0"/>
        <v>0</v>
      </c>
      <c r="S9" s="2593"/>
      <c r="T9" s="2593"/>
      <c r="U9" s="2593"/>
      <c r="V9" s="2601"/>
    </row>
    <row r="10" spans="1:22" s="2605" customFormat="1" ht="13.15" customHeight="1">
      <c r="A10" s="2640">
        <v>2</v>
      </c>
      <c r="B10" s="3361" t="s">
        <v>2356</v>
      </c>
      <c r="C10" s="3362"/>
      <c r="D10" s="2641">
        <f>ROUND(D6*E10,0)</f>
        <v>0</v>
      </c>
      <c r="E10" s="2645"/>
      <c r="F10" s="2646" t="s">
        <v>2357</v>
      </c>
      <c r="G10" s="2625"/>
      <c r="H10" s="2600"/>
      <c r="I10" s="2601"/>
      <c r="J10" s="3344"/>
      <c r="K10" s="3346"/>
      <c r="L10" s="2635" t="s">
        <v>2358</v>
      </c>
      <c r="M10" s="2636"/>
      <c r="N10" s="2612"/>
      <c r="O10" s="2637"/>
      <c r="P10" s="2637"/>
      <c r="Q10" s="2638">
        <v>365</v>
      </c>
      <c r="R10" s="2639">
        <f t="shared" si="0"/>
        <v>0</v>
      </c>
      <c r="S10" s="2593"/>
      <c r="T10" s="2593"/>
      <c r="U10" s="2593"/>
      <c r="V10" s="2601"/>
    </row>
    <row r="11" spans="1:22" s="2605" customFormat="1" ht="13.15" customHeight="1">
      <c r="A11" s="2640">
        <v>3</v>
      </c>
      <c r="B11" s="3361" t="s">
        <v>2359</v>
      </c>
      <c r="C11" s="3362"/>
      <c r="D11" s="2641">
        <f>D12+D14+D15+D16</f>
        <v>0</v>
      </c>
      <c r="E11" s="2647" t="e">
        <f>D11/D6</f>
        <v>#DIV/0!</v>
      </c>
      <c r="F11" s="2643"/>
      <c r="G11" s="2644"/>
      <c r="H11" s="2600"/>
      <c r="I11" s="2601"/>
      <c r="J11" s="3344"/>
      <c r="K11" s="334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54" t="s">
        <v>2362</v>
      </c>
      <c r="C12" s="3355"/>
      <c r="D12" s="2649">
        <f>ROUND(D13*1.2%*(1-30%),0)</f>
        <v>0</v>
      </c>
      <c r="E12" s="2650">
        <v>1.2E-2</v>
      </c>
      <c r="F12" s="2643" t="s">
        <v>2363</v>
      </c>
      <c r="G12" s="2644"/>
      <c r="H12" s="2600"/>
      <c r="I12" s="2601"/>
      <c r="J12" s="3344"/>
      <c r="K12" s="334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44"/>
      <c r="K13" s="334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54" t="s">
        <v>2368</v>
      </c>
      <c r="C14" s="3355"/>
      <c r="D14" s="2649">
        <f>ROUND(E14*B5/10000,0)</f>
        <v>0</v>
      </c>
      <c r="E14" s="2638"/>
      <c r="F14" s="2643" t="s">
        <v>2369</v>
      </c>
      <c r="G14" s="2644"/>
      <c r="H14" s="2600"/>
      <c r="I14" s="2601"/>
      <c r="J14" s="3344"/>
      <c r="K14" s="33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54" t="s">
        <v>2372</v>
      </c>
      <c r="C15" s="3355"/>
      <c r="D15" s="2649">
        <f>ROUND(D6*E15,0)</f>
        <v>0</v>
      </c>
      <c r="E15" s="2650">
        <v>5.5E-2</v>
      </c>
      <c r="F15" s="2643" t="s">
        <v>2373</v>
      </c>
      <c r="G15" s="2625"/>
      <c r="H15" s="2600"/>
      <c r="I15" s="2601"/>
      <c r="J15" s="3344">
        <v>2</v>
      </c>
      <c r="K15" s="33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54" t="s">
        <v>2381</v>
      </c>
      <c r="C16" s="3355"/>
      <c r="D16" s="2660">
        <f>D6*E16</f>
        <v>0</v>
      </c>
      <c r="E16" s="2661"/>
      <c r="F16" s="2646" t="s">
        <v>2382</v>
      </c>
      <c r="G16" s="2625"/>
      <c r="H16" s="2600"/>
      <c r="I16" s="2601"/>
      <c r="J16" s="3344"/>
      <c r="K16" s="334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2384</v>
      </c>
      <c r="C17" s="3357"/>
      <c r="D17" s="2663">
        <f>ROUND(D6*E17,0)</f>
        <v>0</v>
      </c>
      <c r="E17" s="2664"/>
      <c r="F17" s="2665" t="s">
        <v>2385</v>
      </c>
      <c r="G17" s="2625"/>
      <c r="H17" s="2600"/>
      <c r="I17" s="2601"/>
      <c r="J17" s="3344"/>
      <c r="K17" s="334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44"/>
      <c r="K18" s="334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44"/>
      <c r="K19" s="33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44"/>
      <c r="K21" s="334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44"/>
      <c r="K22" s="334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44"/>
      <c r="K23" s="334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44"/>
      <c r="K24" s="33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4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0" t="s">
        <v>2317</v>
      </c>
      <c r="K32" s="335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2" t="s">
        <v>2327</v>
      </c>
      <c r="K33" s="335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2" t="s">
        <v>2329</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44">
        <v>1</v>
      </c>
      <c r="K36" s="334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44"/>
      <c r="K40" s="334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2440.7031000000002</v>
      </c>
      <c r="C2" s="1729" t="s">
        <v>1651</v>
      </c>
      <c r="D2" s="1730" t="s">
        <v>1652</v>
      </c>
      <c r="E2" s="2393">
        <f>SUM(E6:E13)</f>
        <v>475.8</v>
      </c>
      <c r="F2" s="2480"/>
      <c r="G2" s="459"/>
      <c r="H2" s="459"/>
      <c r="I2" s="459"/>
      <c r="J2" s="459"/>
      <c r="K2" s="459"/>
      <c r="L2" s="459"/>
      <c r="M2" s="459"/>
      <c r="N2" s="459"/>
      <c r="O2" s="459"/>
      <c r="P2" s="459"/>
      <c r="Q2" s="459"/>
      <c r="R2" s="459"/>
      <c r="S2" s="459"/>
    </row>
    <row r="3" spans="1:22" ht="15.75">
      <c r="A3" s="1728" t="s">
        <v>686</v>
      </c>
      <c r="B3" s="2387">
        <f ca="1">ROUND(B2*10000/E2,0)</f>
        <v>51297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2440.7031000000002</v>
      </c>
      <c r="C6" s="1729" t="s">
        <v>1651</v>
      </c>
      <c r="D6" s="2480"/>
      <c r="E6" s="2392">
        <f>IF(OR(A6=0,F6="否"),0,'数据-取费表'!K6+'数据-取费表'!S6)</f>
        <v>475.8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475.8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45716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475.8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45716</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475.8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45716</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估价对象为北京市房地产，为所有。根据《国有土地使用证》[]，估价对象（分摊）出让国有建设用地使用权面积为0平方米，建筑面积为475.8平方米。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估价对象为北京市房地产,属开发建设的，该项目尚在开发建设中。根据《国有土地使用证》[]，估价对象（分摊）出让国有建设用地使用权面积为0平方米，规划建筑面积为475.8平方米。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2025年2月28日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45716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45716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45716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90"/>
      <c r="M10" s="2491"/>
      <c r="N10" s="2491"/>
      <c r="O10" s="2542"/>
      <c r="P10" s="3368"/>
      <c r="Q10" s="530" t="str">
        <f t="shared" si="6"/>
        <v>土地使用年限（年）</v>
      </c>
      <c r="R10" s="664" t="s">
        <v>14</v>
      </c>
      <c r="S10" s="665">
        <f t="shared" si="0"/>
        <v>118</v>
      </c>
      <c r="T10" s="664" t="s">
        <v>14</v>
      </c>
      <c r="U10" s="665">
        <f t="shared" si="1"/>
        <v>118</v>
      </c>
      <c r="V10" s="664" t="s">
        <v>14</v>
      </c>
      <c r="W10" s="665">
        <f t="shared" si="2"/>
        <v>118</v>
      </c>
      <c r="X10" s="666"/>
      <c r="Y10" s="3243"/>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475.8</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三级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三级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三级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475.8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45716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68"/>
      <c r="Q10" s="530" t="str">
        <f t="shared" si="6"/>
        <v>土地使用年限（年）</v>
      </c>
      <c r="R10" s="664" t="s">
        <v>14</v>
      </c>
      <c r="S10" s="665">
        <f t="shared" si="0"/>
        <v>118</v>
      </c>
      <c r="T10" s="664" t="s">
        <v>14</v>
      </c>
      <c r="U10" s="665">
        <f t="shared" si="1"/>
        <v>118</v>
      </c>
      <c r="V10" s="664" t="s">
        <v>14</v>
      </c>
      <c r="W10" s="665">
        <f t="shared" si="2"/>
        <v>118</v>
      </c>
      <c r="X10" s="666"/>
      <c r="Y10" s="3243"/>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475.8</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三级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三级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三级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1613</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1613</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1613</v>
      </c>
      <c r="C2" s="1846" t="s">
        <v>1935</v>
      </c>
      <c r="D2" s="162" t="s">
        <v>1936</v>
      </c>
      <c r="E2" s="3121"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37936</v>
      </c>
      <c r="U2" s="1130">
        <f>'数据-基础表'!I13/2</f>
        <v>237.9</v>
      </c>
      <c r="V2" s="3064">
        <f>ROUND(T2*U2/10000,0)</f>
        <v>902</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2439</v>
      </c>
      <c r="F3" s="1848" t="s">
        <v>3413</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27150</v>
      </c>
      <c r="N3" s="813">
        <f>SUMPRODUCT((因素修正幅度!B30:B54=I2)*(因素修正幅度!C3:G3=E2)*(因素修正幅度!C30:G54))</f>
        <v>9.8000000000000004E-2</v>
      </c>
      <c r="O3" s="1056"/>
      <c r="P3" s="1056"/>
      <c r="Q3" s="1056"/>
      <c r="R3" s="1129">
        <v>2</v>
      </c>
      <c r="S3" s="3064">
        <f>ROUND(SUMPRODUCT((B106:B110=R3)*(C105:N105=G2)*(C106:N110)),4)</f>
        <v>1.1838</v>
      </c>
      <c r="T3" s="3064">
        <f t="shared" si="0"/>
        <v>29901</v>
      </c>
      <c r="U3" s="1130">
        <f>U2</f>
        <v>237.9</v>
      </c>
      <c r="V3" s="3064">
        <f t="shared" ref="V3:V16" si="1">ROUND(T3*U3/10000,0)</f>
        <v>711</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25271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27150</v>
      </c>
      <c r="D5" s="1252">
        <f>ROUND(C6*C17+C20,0)</f>
        <v>27150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22288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27150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21419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10"/>
      <c r="B8" s="162" t="s">
        <v>1957</v>
      </c>
      <c r="C8" s="1870" t="s">
        <v>3414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1.01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45716</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0.85009999999999997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25.91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3416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1.0525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1613</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15155</v>
      </c>
      <c r="D37" s="1940"/>
      <c r="E37" s="163">
        <f>ROUND(C37*D37/10000,0)</f>
        <v>0</v>
      </c>
      <c r="F37" s="163">
        <f>SUMIF(修正!A57:A68,G2,修正!B57:B68)</f>
        <v>0.6</v>
      </c>
      <c r="G37" s="163">
        <f>ROUND(IF(E2="工业",C37*$M$42,C37*$M$41),0)</f>
        <v>3789</v>
      </c>
      <c r="H37" s="163">
        <f>D37</f>
        <v>0</v>
      </c>
      <c r="I37" s="163">
        <f>ROUND(G37*H37/10000,0)</f>
        <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7578</v>
      </c>
      <c r="D38" s="1940"/>
      <c r="E38" s="163">
        <f t="shared" ref="E38:E42" si="4">ROUND(C38*D38/10000,0)</f>
        <v>0</v>
      </c>
      <c r="F38" s="163">
        <f>SUMIF(修正!A57:A68,G2,修正!C57:C68)</f>
        <v>0.3</v>
      </c>
      <c r="G38" s="163">
        <f>ROUND(IF(E2="工业",C38*$M$42,C38*$M$41),0)</f>
        <v>1895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3259</v>
      </c>
      <c r="C39" s="167">
        <f>ROUND(D5*C22*C23*C24*C28*F39,0)</f>
        <v>6315</v>
      </c>
      <c r="D39" s="1940"/>
      <c r="E39" s="163">
        <f t="shared" si="4"/>
        <v>0</v>
      </c>
      <c r="F39" s="163">
        <f>SUMIF(修正!A57:A68,G2,修正!D57:D68)</f>
        <v>0.25</v>
      </c>
      <c r="G39" s="163">
        <f>ROUND(IF(E2="工业",C39*$M$42,C39*$M$41),0)</f>
        <v>1579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6315</v>
      </c>
      <c r="D40" s="1940"/>
      <c r="E40" s="163">
        <f t="shared" si="4"/>
        <v>0</v>
      </c>
      <c r="F40" s="167">
        <f>SUMIF(修正!A57:A68,G2,修正!E57:E68)</f>
        <v>0.25</v>
      </c>
      <c r="G40" s="163">
        <f>ROUND(IF(E2="工业",C40*$M$42,C40*$M$41),0)</f>
        <v>1579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1.0525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3489" t="s">
        <v>3417</v>
      </c>
      <c r="D50" s="1002">
        <f t="shared" ref="D50:D58" si="7">SUMIF($J$49:$N$49,C50,J50:N50)</f>
        <v>1.47E-2</v>
      </c>
      <c r="E50" s="702">
        <f>ROUND(SUM(D50:D58),4)</f>
        <v>5.2499999999999998E-2</v>
      </c>
      <c r="F50" s="1675">
        <f>IF(E2="商业",SUMIF(L1:L12,G2,N1:N12),"——")</f>
        <v>9.8000000000000004E-2</v>
      </c>
      <c r="G50" s="1000">
        <f>H50</f>
        <v>1.47E-2</v>
      </c>
      <c r="H50" s="1003">
        <f t="shared" ref="H50:H58" si="8">IFERROR(ROUNDDOWN($F$50*I50/2,4),"——")</f>
        <v>1.47E-2</v>
      </c>
      <c r="I50" s="3069">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3489" t="s">
        <v>3417</v>
      </c>
      <c r="D51" s="1002">
        <f t="shared" si="7"/>
        <v>1.0699999999999999E-2</v>
      </c>
      <c r="E51" s="703"/>
      <c r="F51" s="1675"/>
      <c r="G51" s="1000">
        <f t="shared" ref="G51:G58" si="12">H51</f>
        <v>1.0699999999999999E-2</v>
      </c>
      <c r="H51" s="1003">
        <f t="shared" si="8"/>
        <v>1.0699999999999999E-2</v>
      </c>
      <c r="I51" s="3069">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3489" t="s">
        <v>3417</v>
      </c>
      <c r="D52" s="1002">
        <f t="shared" si="7"/>
        <v>5.7999999999999996E-3</v>
      </c>
      <c r="E52" s="703"/>
      <c r="F52" s="1675"/>
      <c r="G52" s="1000">
        <f t="shared" si="12"/>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3489" t="s">
        <v>3417</v>
      </c>
      <c r="D53" s="1002">
        <f t="shared" si="7"/>
        <v>2.3999999999999998E-3</v>
      </c>
      <c r="E53" s="703"/>
      <c r="F53" s="1675"/>
      <c r="G53" s="1000">
        <f t="shared" si="12"/>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3489" t="s">
        <v>3417</v>
      </c>
      <c r="D54" s="1002">
        <f t="shared" si="7"/>
        <v>3.8999999999999998E-3</v>
      </c>
      <c r="E54" s="703"/>
      <c r="F54" s="1675"/>
      <c r="G54" s="1000">
        <f t="shared" si="12"/>
        <v>3.8999999999999998E-3</v>
      </c>
      <c r="H54" s="1003">
        <f t="shared" si="8"/>
        <v>3.8999999999999998E-3</v>
      </c>
      <c r="I54" s="3069">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3489" t="s">
        <v>3417</v>
      </c>
      <c r="D55" s="1002">
        <f t="shared" si="7"/>
        <v>2.3999999999999998E-3</v>
      </c>
      <c r="E55" s="703"/>
      <c r="F55" s="1675"/>
      <c r="G55" s="1000">
        <f t="shared" si="12"/>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3489" t="s">
        <v>3417</v>
      </c>
      <c r="D56" s="1002">
        <f t="shared" si="7"/>
        <v>2.3999999999999998E-3</v>
      </c>
      <c r="E56" s="703"/>
      <c r="F56" s="1675"/>
      <c r="G56" s="1000">
        <f t="shared" si="12"/>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3489" t="s">
        <v>3419</v>
      </c>
      <c r="D57" s="1002">
        <f t="shared" si="7"/>
        <v>7.7999999999999996E-3</v>
      </c>
      <c r="E57" s="703"/>
      <c r="F57" s="1675"/>
      <c r="G57" s="1000">
        <f t="shared" si="12"/>
        <v>3.8999999999999998E-3</v>
      </c>
      <c r="H57" s="1003">
        <f t="shared" si="8"/>
        <v>3.8999999999999998E-3</v>
      </c>
      <c r="I57" s="3069">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3489" t="s">
        <v>3417</v>
      </c>
      <c r="D58" s="1002">
        <f t="shared" si="7"/>
        <v>2.3999999999999998E-3</v>
      </c>
      <c r="E58" s="704"/>
      <c r="F58" s="1675"/>
      <c r="G58" s="1000">
        <f t="shared" si="12"/>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3270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2.5</v>
      </c>
      <c r="C116" s="3100" t="s">
        <v>3313</v>
      </c>
      <c r="D116" s="3101">
        <f>SUMPRODUCT((A118:A122=F116)*(B117:M117=H116)*B118:M122)</f>
        <v>0.91400000000000003</v>
      </c>
      <c r="E116" s="162" t="s">
        <v>3314</v>
      </c>
      <c r="F116" s="3102" t="str">
        <f>E2</f>
        <v>商业</v>
      </c>
      <c r="G116" s="162" t="s">
        <v>3315</v>
      </c>
      <c r="H116" s="3102" t="str">
        <f>G2</f>
        <v>三级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3329</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3330</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3331</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3410</v>
      </c>
      <c r="D1" s="1271" t="s">
        <v>43</v>
      </c>
      <c r="E1" s="1272" t="s">
        <v>678</v>
      </c>
      <c r="F1" s="999">
        <f ca="1">J53</f>
        <v>25.91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2440.7031000000002</v>
      </c>
      <c r="C2" s="1289" t="s">
        <v>879</v>
      </c>
      <c r="D2" s="1375">
        <f ca="1">C40+J29+L46</f>
        <v>24407031</v>
      </c>
      <c r="E2" s="1295" t="s">
        <v>880</v>
      </c>
      <c r="F2" s="1296"/>
      <c r="G2" s="2479"/>
      <c r="H2" s="2469"/>
      <c r="I2" s="2469"/>
      <c r="J2" s="2469"/>
      <c r="K2" s="2470"/>
      <c r="L2" s="2469"/>
      <c r="M2" s="2469"/>
    </row>
    <row r="3" spans="1:37" ht="18" customHeight="1" thickBot="1">
      <c r="A3" s="1297" t="s">
        <v>881</v>
      </c>
      <c r="B3" s="1298">
        <f ca="1">IF(ISERROR(D2/F43),0,ROUND(D2/F43,0))</f>
        <v>51297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1877949</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1875604</v>
      </c>
      <c r="D6" s="147" t="s">
        <v>2106</v>
      </c>
      <c r="E6" s="294" t="s">
        <v>696</v>
      </c>
      <c r="F6" s="295">
        <f ca="1">INDIRECT("'数据-取费表'!u"&amp;$G$1)</f>
        <v>12</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475.8</v>
      </c>
      <c r="G7" s="1292"/>
      <c r="H7" s="296"/>
      <c r="I7" s="3342"/>
      <c r="J7" s="298"/>
      <c r="K7" s="299"/>
      <c r="L7" s="294" t="s">
        <v>697</v>
      </c>
      <c r="M7" s="295">
        <f ca="1">F7</f>
        <v>475.8</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2345</v>
      </c>
      <c r="D10" s="150" t="s">
        <v>2116</v>
      </c>
      <c r="E10" s="305" t="s">
        <v>701</v>
      </c>
      <c r="F10" s="1053" t="s">
        <v>3423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1117619</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1189500</v>
      </c>
      <c r="D14" s="1257" t="s">
        <v>708</v>
      </c>
      <c r="E14" s="1255"/>
      <c r="F14" s="311"/>
      <c r="G14" s="1292"/>
      <c r="H14" s="928" t="s">
        <v>398</v>
      </c>
      <c r="I14" s="294" t="s">
        <v>709</v>
      </c>
      <c r="J14" s="21">
        <f ca="1">C29</f>
        <v>1862699</v>
      </c>
      <c r="K14" s="12"/>
      <c r="L14" s="759"/>
      <c r="M14" s="760"/>
    </row>
    <row r="15" spans="1:37" s="1304" customFormat="1" ht="18" customHeight="1" thickBot="1">
      <c r="A15" s="928" t="s">
        <v>399</v>
      </c>
      <c r="B15" s="294" t="s">
        <v>710</v>
      </c>
      <c r="C15" s="21">
        <f ca="1">ROUND(C14*F15,0)</f>
        <v>59475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5588</v>
      </c>
      <c r="K16" s="1024" t="s">
        <v>715</v>
      </c>
      <c r="L16" s="1025"/>
      <c r="M16" s="1009"/>
    </row>
    <row r="17" spans="1:37" s="1304" customFormat="1" ht="18" customHeight="1">
      <c r="A17" s="928" t="s">
        <v>681</v>
      </c>
      <c r="B17" s="294" t="s">
        <v>716</v>
      </c>
      <c r="C17" s="21">
        <f ca="1">ROUND(F17*(F43+INDIRECT("'数据-取费表'!S"&amp;$G$1)),0)</f>
        <v>95160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23790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1367925</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27359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5588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43254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-5588</v>
      </c>
      <c r="K25" s="1032" t="s">
        <v>753</v>
      </c>
      <c r="L25" s="1033"/>
      <c r="M25" s="1034"/>
    </row>
    <row r="26" spans="1:37" ht="18" customHeight="1">
      <c r="A26" s="928" t="s">
        <v>397</v>
      </c>
      <c r="B26" s="294" t="s">
        <v>754</v>
      </c>
      <c r="C26" s="21">
        <f ca="1">ROUND((C19+C20)*F26,0)</f>
        <v>279057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1862699</v>
      </c>
      <c r="D29" s="1029"/>
      <c r="E29" s="1027"/>
      <c r="F29" s="1030"/>
      <c r="G29" s="1303"/>
      <c r="H29" s="325" t="s">
        <v>396</v>
      </c>
      <c r="I29" s="326" t="s">
        <v>768</v>
      </c>
      <c r="J29" s="327">
        <f ca="1">ROUND(J26/(1+F40)^F41,0)</f>
        <v>0</v>
      </c>
      <c r="K29" s="328" t="s">
        <v>769</v>
      </c>
      <c r="L29" s="329"/>
      <c r="M29" s="330">
        <f ca="1">INDIRECT("'数据-取费表'!k"&amp;$G$1)</f>
        <v>475.8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330483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314387</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100032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214355</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5588</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1118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9390</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1547466</v>
      </c>
      <c r="D39" s="1032" t="s">
        <v>773</v>
      </c>
      <c r="E39" s="1033"/>
      <c r="F39" s="1034"/>
      <c r="G39" s="1292"/>
      <c r="H39" s="2474"/>
      <c r="I39" s="1305"/>
      <c r="J39" s="1306"/>
      <c r="K39" s="2472"/>
      <c r="L39" s="2474"/>
      <c r="M39" s="2474"/>
    </row>
    <row r="40" spans="1:18" ht="18" customHeight="1">
      <c r="A40" s="291" t="s">
        <v>395</v>
      </c>
      <c r="B40" s="292" t="s">
        <v>774</v>
      </c>
      <c r="C40" s="293">
        <f ca="1">ROUND(C39*(1-((1+F42)/(1+F40))^F41)/(F40-F42),0)</f>
        <v>24407031</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25.91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51297</v>
      </c>
      <c r="D43" s="328" t="s">
        <v>777</v>
      </c>
      <c r="E43" s="329" t="s">
        <v>778</v>
      </c>
      <c r="F43" s="330">
        <f ca="1">INDIRECT("'数据-取费表'!k"&amp;$G$1)</f>
        <v>475.8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f ca="1">ROUND((C68-C40)/10000,4)</f>
        <v>-2449.4101000000001</v>
      </c>
      <c r="D45" s="3131" t="s">
        <v>3352</v>
      </c>
      <c r="E45" s="1307"/>
      <c r="F45" s="1307"/>
      <c r="O45" s="1310" t="s">
        <v>808</v>
      </c>
      <c r="P45" s="1366"/>
      <c r="Q45" s="1366"/>
      <c r="R45" s="1366"/>
    </row>
    <row r="46" spans="1:18" s="1292" customFormat="1" ht="13.5" thickBot="1">
      <c r="A46" s="1311" t="s">
        <v>809</v>
      </c>
      <c r="C46" s="1312">
        <f ca="1">ROUND(C45,0)</f>
        <v>-2449</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3424</v>
      </c>
      <c r="K47" s="1323" t="s">
        <v>816</v>
      </c>
      <c r="L47" s="1324">
        <f ca="1">INDIRECT("'数据-取费表'!d"&amp;$G$1)</f>
        <v>40</v>
      </c>
      <c r="M47" s="1288" t="str">
        <f>IF(ISNUMBER(FIND("住宅",C1)),"住宅","非住宅")</f>
        <v>非住宅</v>
      </c>
      <c r="O47" s="1325" t="s">
        <v>403</v>
      </c>
      <c r="P47" s="1326" t="s">
        <v>817</v>
      </c>
      <c r="Q47" s="1327">
        <f ca="1">C40+J29</f>
        <v>24407031</v>
      </c>
      <c r="R47" s="1327" t="s">
        <v>818</v>
      </c>
    </row>
    <row r="48" spans="1:18" s="1292" customFormat="1" ht="28.5" thickBot="1">
      <c r="A48" s="1047" t="s">
        <v>438</v>
      </c>
      <c r="B48" s="292" t="s">
        <v>692</v>
      </c>
      <c r="C48" s="1268">
        <f ca="1">C49+C53+C55</f>
        <v>0</v>
      </c>
      <c r="D48" s="1049"/>
      <c r="E48" s="1050"/>
      <c r="F48" s="908"/>
      <c r="G48" s="681"/>
      <c r="H48" s="682"/>
      <c r="I48" s="1328" t="s">
        <v>819</v>
      </c>
      <c r="J48" s="1329" t="s">
        <v>3425</v>
      </c>
      <c r="K48" s="1330" t="s">
        <v>820</v>
      </c>
      <c r="L48" s="1331">
        <f ca="1">INDIRECT("'数据-取费表'!f"&amp;$G$1)</f>
        <v>25.91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1862699</v>
      </c>
      <c r="R49" s="1327" t="s">
        <v>818</v>
      </c>
    </row>
    <row r="50" spans="1:18" s="1292" customFormat="1" ht="13.5" thickBot="1">
      <c r="A50" s="922"/>
      <c r="B50" s="925"/>
      <c r="C50" s="926"/>
      <c r="D50" s="899"/>
      <c r="E50" s="993" t="s">
        <v>697</v>
      </c>
      <c r="F50" s="994">
        <f ca="1">F7</f>
        <v>475.8</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24876339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25.91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25.91</v>
      </c>
      <c r="K53" s="3339" t="s">
        <v>837</v>
      </c>
      <c r="L53" s="3340"/>
      <c r="O53" s="1325" t="s">
        <v>409</v>
      </c>
      <c r="P53" s="1326" t="s">
        <v>838</v>
      </c>
      <c r="Q53" s="1327">
        <f ca="1">Q47+Q48</f>
        <v>24407031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1117619</v>
      </c>
      <c r="D56" s="1352"/>
      <c r="E56" s="1353"/>
      <c r="F56" s="1345"/>
      <c r="I56" s="1354" t="s">
        <v>842</v>
      </c>
      <c r="J56" s="1355" t="s">
        <v>3409</v>
      </c>
      <c r="K56" s="1328" t="s">
        <v>843</v>
      </c>
      <c r="L56" s="1331" t="str">
        <f ca="1">IF(L48&lt;J51,"——",L48-J51)</f>
        <v>——</v>
      </c>
      <c r="O56" s="1325" t="s">
        <v>403</v>
      </c>
      <c r="P56" s="1326" t="s">
        <v>817</v>
      </c>
      <c r="Q56" s="1327">
        <f ca="1">C40+J29</f>
        <v>24407031</v>
      </c>
      <c r="R56" s="1327" t="s">
        <v>818</v>
      </c>
    </row>
    <row r="57" spans="1:18" s="1292" customFormat="1" ht="24.75" thickBot="1">
      <c r="A57" s="1356"/>
      <c r="B57" s="896" t="s">
        <v>767</v>
      </c>
      <c r="C57" s="230">
        <f ca="1">C29</f>
        <v>1862699</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6706</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24407031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5588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1118</v>
      </c>
      <c r="D65" s="910" t="s">
        <v>743</v>
      </c>
      <c r="E65" s="896" t="s">
        <v>744</v>
      </c>
      <c r="F65" s="321">
        <f t="shared" ca="1" si="0"/>
        <v>1E-3</v>
      </c>
      <c r="I65" s="1367" t="s">
        <v>867</v>
      </c>
      <c r="J65" s="610">
        <v>40</v>
      </c>
      <c r="K65" s="610">
        <v>30</v>
      </c>
      <c r="L65" s="610">
        <v>50</v>
      </c>
      <c r="M65" s="1369">
        <v>0.02</v>
      </c>
      <c r="O65" s="1325" t="s">
        <v>403</v>
      </c>
      <c r="P65" s="1326" t="s">
        <v>868</v>
      </c>
      <c r="Q65" s="1327">
        <f ca="1">C40+J29</f>
        <v>24407031</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-6706</v>
      </c>
      <c r="D67" s="909" t="s">
        <v>753</v>
      </c>
      <c r="E67" s="914"/>
      <c r="F67" s="915"/>
      <c r="O67" s="1334" t="s">
        <v>405</v>
      </c>
      <c r="P67" s="1326" t="s">
        <v>850</v>
      </c>
      <c r="Q67" s="1370">
        <f ca="1">L51</f>
        <v>24876339</v>
      </c>
      <c r="R67" s="1327" t="s">
        <v>870</v>
      </c>
    </row>
    <row r="68" spans="1:18" s="1292" customFormat="1" ht="16.5" thickBot="1">
      <c r="A68" s="893" t="s">
        <v>395</v>
      </c>
      <c r="B68" s="894" t="s">
        <v>774</v>
      </c>
      <c r="C68" s="293">
        <f ca="1">ROUND(C67*(1-((1+F70)/(1+F68))^F69)/(F68-F70),0)</f>
        <v>-87070</v>
      </c>
      <c r="D68" s="911" t="s">
        <v>758</v>
      </c>
      <c r="E68" s="896" t="s">
        <v>759</v>
      </c>
      <c r="F68" s="304">
        <f ca="1">F40</f>
        <v>0.06</v>
      </c>
      <c r="O68" s="1334" t="s">
        <v>406</v>
      </c>
      <c r="P68" s="1371" t="s">
        <v>871</v>
      </c>
      <c r="Q68" s="1327">
        <f ca="1">ROUND(Q69-Q70*Q71,0)</f>
        <v>1469233</v>
      </c>
      <c r="R68" s="1327" t="s">
        <v>414</v>
      </c>
    </row>
    <row r="69" spans="1:18" s="1292" customFormat="1" ht="13.5" thickBot="1">
      <c r="A69" s="897"/>
      <c r="B69" s="898"/>
      <c r="C69" s="298"/>
      <c r="D69" s="916" t="s">
        <v>762</v>
      </c>
      <c r="E69" s="896" t="s">
        <v>763</v>
      </c>
      <c r="F69" s="324">
        <f ca="1">F41</f>
        <v>25.91</v>
      </c>
      <c r="O69" s="1334" t="s">
        <v>411</v>
      </c>
      <c r="P69" s="1371" t="s">
        <v>872</v>
      </c>
      <c r="Q69" s="1327">
        <f ca="1">C39</f>
        <v>1547466</v>
      </c>
      <c r="R69" s="1327" t="s">
        <v>818</v>
      </c>
    </row>
    <row r="70" spans="1:18" s="1292" customFormat="1" ht="13.5" thickBot="1">
      <c r="A70" s="900"/>
      <c r="B70" s="901"/>
      <c r="C70" s="302"/>
      <c r="D70" s="912"/>
      <c r="E70" s="896" t="s">
        <v>766</v>
      </c>
      <c r="F70" s="991"/>
      <c r="O70" s="1334" t="s">
        <v>412</v>
      </c>
      <c r="P70" s="1371" t="s">
        <v>873</v>
      </c>
      <c r="Q70" s="1327">
        <f ca="1">C13</f>
        <v>1117619</v>
      </c>
      <c r="R70" s="1327" t="s">
        <v>818</v>
      </c>
    </row>
    <row r="71" spans="1:18" s="1292" customFormat="1" ht="13.5" thickBot="1">
      <c r="A71" s="917" t="s">
        <v>396</v>
      </c>
      <c r="B71" s="918" t="s">
        <v>776</v>
      </c>
      <c r="C71" s="327">
        <f ca="1">ROUND(C68/F71,0)</f>
        <v>-183</v>
      </c>
      <c r="D71" s="919" t="s">
        <v>777</v>
      </c>
      <c r="E71" s="920" t="s">
        <v>778</v>
      </c>
      <c r="F71" s="330">
        <f ca="1">F43</f>
        <v>475.8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78233</v>
      </c>
      <c r="D75" s="1292"/>
      <c r="E75" s="1292"/>
      <c r="F75" s="1292"/>
      <c r="K75" s="1309"/>
      <c r="L75" s="1292"/>
      <c r="O75" s="1325" t="s">
        <v>409</v>
      </c>
      <c r="P75" s="1326" t="s">
        <v>838</v>
      </c>
      <c r="Q75" s="1327">
        <f ca="1">Q65+Q66</f>
        <v>24407031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0.94899999999999995</v>
      </c>
    </row>
    <row r="80" spans="1:18">
      <c r="B80" s="331" t="s">
        <v>800</v>
      </c>
      <c r="C80" s="266">
        <f ca="1">ROUND(C75/C39,3)</f>
        <v>5.0999999999999997E-2</v>
      </c>
    </row>
    <row r="81" spans="2:3">
      <c r="B81" s="262" t="s">
        <v>801</v>
      </c>
      <c r="C81" s="230"/>
    </row>
    <row r="82" spans="2:3">
      <c r="B82" s="265" t="s">
        <v>802</v>
      </c>
      <c r="C82" s="267">
        <f ca="1">1-C83</f>
        <v>0.95399999999999996</v>
      </c>
    </row>
    <row r="83" spans="2:3">
      <c r="B83" s="265" t="s">
        <v>803</v>
      </c>
      <c r="C83" s="266">
        <f ca="1">ROUND(C13/C40,3)</f>
        <v>4.5999999999999999E-2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309EF-B599-4278-A7C6-390529C85C47}">
  <dimension ref="B2:P17"/>
  <sheetViews>
    <sheetView workbookViewId="0">
      <selection activeCell="I13" sqref="I13"/>
    </sheetView>
  </sheetViews>
  <sheetFormatPr defaultColWidth="8.875" defaultRowHeight="14.25"/>
  <cols>
    <col min="1" max="16384" width="8.875" style="3496"/>
  </cols>
  <sheetData>
    <row r="2" spans="2:16">
      <c r="B2" s="3496" t="s">
        <v>3444</v>
      </c>
      <c r="C2" s="3496">
        <f>[2]项目基本情况!C12</f>
        <v>475.8</v>
      </c>
    </row>
    <row r="3" spans="2:16">
      <c r="B3" s="3496" t="s">
        <v>3445</v>
      </c>
      <c r="C3" s="3496">
        <v>2800</v>
      </c>
      <c r="D3" s="3496" t="s">
        <v>3446</v>
      </c>
    </row>
    <row r="4" spans="2:16">
      <c r="B4" s="3496" t="s">
        <v>3447</v>
      </c>
      <c r="C4" s="3496">
        <f>C3*10000/C2</f>
        <v>58848.255569567045</v>
      </c>
    </row>
    <row r="6" spans="2:16">
      <c r="B6" s="3496" t="s">
        <v>3448</v>
      </c>
      <c r="H6" s="3496" t="s">
        <v>3449</v>
      </c>
      <c r="N6" s="3496" t="s">
        <v>3450</v>
      </c>
    </row>
    <row r="7" spans="2:16">
      <c r="B7" s="3497">
        <v>44395</v>
      </c>
      <c r="C7" s="3497">
        <v>46159</v>
      </c>
      <c r="D7" s="3497"/>
      <c r="H7" s="3497">
        <v>44479</v>
      </c>
      <c r="I7" s="3497">
        <v>46335</v>
      </c>
      <c r="N7" s="3496">
        <v>1</v>
      </c>
      <c r="O7" s="3496">
        <v>12</v>
      </c>
      <c r="P7" s="3496">
        <v>1</v>
      </c>
    </row>
    <row r="8" spans="2:16">
      <c r="H8" s="3496" t="s">
        <v>3451</v>
      </c>
      <c r="I8" s="3496">
        <v>100</v>
      </c>
      <c r="N8" s="3496">
        <v>2</v>
      </c>
      <c r="O8" s="3496">
        <f>O7*P8</f>
        <v>8.3999999999999986</v>
      </c>
      <c r="P8" s="3496">
        <v>0.7</v>
      </c>
    </row>
    <row r="9" spans="2:16">
      <c r="B9" s="3497">
        <v>44699</v>
      </c>
      <c r="C9" s="3497">
        <v>45063</v>
      </c>
      <c r="D9" s="3496">
        <v>1</v>
      </c>
      <c r="E9" s="3496">
        <v>1500000</v>
      </c>
      <c r="F9" s="3496">
        <f>D9*E9</f>
        <v>1500000</v>
      </c>
      <c r="H9" s="3497">
        <v>44699</v>
      </c>
      <c r="I9" s="3497">
        <v>44874</v>
      </c>
      <c r="J9" s="3496">
        <v>0.47</v>
      </c>
      <c r="K9" s="3496">
        <f t="shared" ref="K9:K13" si="0">375000*2</f>
        <v>750000</v>
      </c>
      <c r="L9" s="3496">
        <f>J9*K9</f>
        <v>352500</v>
      </c>
      <c r="O9" s="3496">
        <f>(O7+O8)/2</f>
        <v>10.199999999999999</v>
      </c>
    </row>
    <row r="10" spans="2:16">
      <c r="B10" s="3497">
        <v>45064</v>
      </c>
      <c r="C10" s="3497">
        <v>45429</v>
      </c>
      <c r="D10" s="3496">
        <v>1</v>
      </c>
      <c r="E10" s="3496">
        <v>1500000</v>
      </c>
      <c r="F10" s="3496">
        <f>D10*E10</f>
        <v>1500000</v>
      </c>
      <c r="H10" s="3497">
        <v>44875</v>
      </c>
      <c r="I10" s="3497">
        <v>45239</v>
      </c>
      <c r="J10" s="3496">
        <v>1</v>
      </c>
      <c r="K10" s="3496">
        <f t="shared" si="0"/>
        <v>750000</v>
      </c>
      <c r="L10" s="3496">
        <f>K10</f>
        <v>750000</v>
      </c>
      <c r="O10" s="3496">
        <f>O9*[2]项目基本情况!C12*365/10000</f>
        <v>177.14033999999998</v>
      </c>
    </row>
    <row r="11" spans="2:16">
      <c r="B11" s="3497">
        <v>45430</v>
      </c>
      <c r="C11" s="3497">
        <v>45794</v>
      </c>
      <c r="D11" s="3496">
        <v>1</v>
      </c>
      <c r="E11" s="3496">
        <v>1500000</v>
      </c>
      <c r="F11" s="3496">
        <f>D11*E11</f>
        <v>1500000</v>
      </c>
      <c r="H11" s="3497">
        <v>45238</v>
      </c>
      <c r="I11" s="3497">
        <v>45605</v>
      </c>
      <c r="J11" s="3496">
        <v>1</v>
      </c>
      <c r="K11" s="3496">
        <f t="shared" si="0"/>
        <v>750000</v>
      </c>
      <c r="L11" s="3496">
        <f>K11</f>
        <v>750000</v>
      </c>
    </row>
    <row r="12" spans="2:16">
      <c r="B12" s="3497">
        <v>45795</v>
      </c>
      <c r="C12" s="3497">
        <v>46335</v>
      </c>
      <c r="D12" s="3496">
        <v>1.47</v>
      </c>
      <c r="E12" s="3496">
        <v>1500000</v>
      </c>
      <c r="F12" s="3496">
        <f>D12*E12</f>
        <v>2205000</v>
      </c>
      <c r="H12" s="3497">
        <v>45604</v>
      </c>
      <c r="I12" s="3497">
        <v>45970</v>
      </c>
      <c r="J12" s="3496">
        <v>1</v>
      </c>
      <c r="K12" s="3496">
        <f t="shared" si="0"/>
        <v>750000</v>
      </c>
      <c r="L12" s="3496">
        <f>K12</f>
        <v>750000</v>
      </c>
    </row>
    <row r="13" spans="2:16">
      <c r="D13" s="3496">
        <f>SUM(D9:D12)</f>
        <v>4.47</v>
      </c>
      <c r="F13" s="3496">
        <f>SUM(F9:F12)</f>
        <v>6705000</v>
      </c>
      <c r="H13" s="3497">
        <v>45969</v>
      </c>
      <c r="I13" s="3497">
        <v>46335</v>
      </c>
      <c r="J13" s="3496">
        <v>1</v>
      </c>
      <c r="K13" s="3496">
        <f t="shared" si="0"/>
        <v>750000</v>
      </c>
      <c r="L13" s="3496">
        <f>K13</f>
        <v>750000</v>
      </c>
    </row>
    <row r="14" spans="2:16">
      <c r="J14" s="3496">
        <f>SUM(J9:J13)</f>
        <v>4.47</v>
      </c>
      <c r="L14" s="3496">
        <f>SUM(L9:L13)</f>
        <v>3352500</v>
      </c>
    </row>
    <row r="15" spans="2:16">
      <c r="B15" s="3496" t="s">
        <v>3452</v>
      </c>
      <c r="C15" s="3496">
        <v>125000</v>
      </c>
      <c r="H15" s="3496" t="s">
        <v>3452</v>
      </c>
      <c r="I15" s="3496">
        <v>75000</v>
      </c>
    </row>
    <row r="16" spans="2:16">
      <c r="F16" s="3498">
        <f>F13+L14</f>
        <v>10057500</v>
      </c>
    </row>
    <row r="17" spans="6:6">
      <c r="F17" s="3496">
        <f>ROUND(F16/C2/365/D13,2)</f>
        <v>12.96</v>
      </c>
    </row>
  </sheetData>
  <phoneticPr fontId="134"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8" t="s">
        <v>2607</v>
      </c>
      <c r="B20" s="3463" t="s">
        <v>2628</v>
      </c>
      <c r="C20" s="2843" t="s">
        <v>2439</v>
      </c>
      <c r="D20" s="2844"/>
      <c r="E20" s="2845">
        <v>1</v>
      </c>
      <c r="F20" s="2846" t="s">
        <v>2440</v>
      </c>
      <c r="G20" s="2846"/>
    </row>
    <row r="21" spans="1:13" ht="19.5" customHeight="1">
      <c r="A21" s="3469"/>
      <c r="B21" s="3462"/>
      <c r="C21" s="2847" t="s">
        <v>2441</v>
      </c>
      <c r="D21" s="2848"/>
      <c r="E21" s="2849">
        <v>1</v>
      </c>
      <c r="F21" s="2846" t="s">
        <v>2442</v>
      </c>
      <c r="G21" s="2846"/>
    </row>
    <row r="22" spans="1:13" ht="19.5" customHeight="1">
      <c r="A22" s="3469"/>
      <c r="B22" s="3462"/>
      <c r="C22" s="2847" t="s">
        <v>2443</v>
      </c>
      <c r="D22" s="2848"/>
      <c r="E22" s="2849">
        <v>0.9</v>
      </c>
      <c r="F22" s="2846" t="s">
        <v>2444</v>
      </c>
      <c r="G22" s="2846"/>
    </row>
    <row r="23" spans="1:13" ht="19.5" customHeight="1">
      <c r="A23" s="3469"/>
      <c r="B23" s="3462"/>
      <c r="C23" s="2847" t="s">
        <v>2445</v>
      </c>
      <c r="D23" s="2848"/>
      <c r="E23" s="2849">
        <v>0.9</v>
      </c>
      <c r="F23" s="2846" t="s">
        <v>2446</v>
      </c>
      <c r="G23" s="2846"/>
    </row>
    <row r="24" spans="1:13" ht="19.5" customHeight="1">
      <c r="A24" s="3469"/>
      <c r="B24" s="3462"/>
      <c r="C24" s="2847" t="s">
        <v>2447</v>
      </c>
      <c r="D24" s="2848"/>
      <c r="E24" s="2849">
        <v>0.8</v>
      </c>
      <c r="F24" s="2846" t="s">
        <v>2448</v>
      </c>
      <c r="G24" s="2846"/>
    </row>
    <row r="25" spans="1:13" ht="19.5" customHeight="1" thickBot="1">
      <c r="A25" s="3470"/>
      <c r="B25" s="346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5" t="s">
        <v>2631</v>
      </c>
      <c r="B27" s="3463" t="s">
        <v>2612</v>
      </c>
      <c r="C27" s="2843" t="s">
        <v>2452</v>
      </c>
      <c r="D27" s="2844"/>
      <c r="E27" s="2845">
        <v>1</v>
      </c>
      <c r="F27" s="2846" t="s">
        <v>2453</v>
      </c>
      <c r="G27" s="2846"/>
    </row>
    <row r="28" spans="1:13" ht="19.5" customHeight="1">
      <c r="A28" s="3466"/>
      <c r="B28" s="3462"/>
      <c r="C28" s="2847" t="s">
        <v>2454</v>
      </c>
      <c r="D28" s="2848"/>
      <c r="E28" s="2849">
        <v>1</v>
      </c>
      <c r="F28" s="2846" t="s">
        <v>2455</v>
      </c>
      <c r="G28" s="2846"/>
    </row>
    <row r="29" spans="1:13" ht="19.5" customHeight="1">
      <c r="A29" s="3466"/>
      <c r="B29" s="3462"/>
      <c r="C29" s="2847" t="s">
        <v>2456</v>
      </c>
      <c r="D29" s="2848"/>
      <c r="E29" s="2849">
        <v>0.8</v>
      </c>
      <c r="F29" s="2846" t="s">
        <v>2457</v>
      </c>
      <c r="G29" s="2846"/>
    </row>
    <row r="30" spans="1:13" ht="19.5" customHeight="1">
      <c r="A30" s="3466"/>
      <c r="B30" s="3462"/>
      <c r="C30" s="2847" t="s">
        <v>2458</v>
      </c>
      <c r="D30" s="2848"/>
      <c r="E30" s="2849">
        <v>0.8</v>
      </c>
      <c r="F30" s="2846" t="s">
        <v>2459</v>
      </c>
      <c r="G30" s="2846"/>
    </row>
    <row r="31" spans="1:13" ht="19.5" customHeight="1">
      <c r="A31" s="3466"/>
      <c r="B31" s="3462"/>
      <c r="C31" s="2847" t="s">
        <v>2460</v>
      </c>
      <c r="D31" s="2848"/>
      <c r="E31" s="2849">
        <v>0.8</v>
      </c>
      <c r="F31" s="2846" t="s">
        <v>2461</v>
      </c>
      <c r="G31" s="2846"/>
    </row>
    <row r="32" spans="1:13" ht="19.5" customHeight="1">
      <c r="A32" s="3466"/>
      <c r="B32" s="3462"/>
      <c r="C32" s="2847" t="s">
        <v>2462</v>
      </c>
      <c r="D32" s="2848"/>
      <c r="E32" s="2849">
        <v>0.7</v>
      </c>
      <c r="F32" s="2846" t="s">
        <v>2463</v>
      </c>
      <c r="G32" s="2846"/>
    </row>
    <row r="33" spans="1:7" ht="19.5" customHeight="1">
      <c r="A33" s="3466"/>
      <c r="B33" s="3462"/>
      <c r="C33" s="2847" t="s">
        <v>2464</v>
      </c>
      <c r="D33" s="2848"/>
      <c r="E33" s="2849">
        <v>0.8</v>
      </c>
      <c r="F33" s="2846" t="s">
        <v>2465</v>
      </c>
      <c r="G33" s="2846"/>
    </row>
    <row r="34" spans="1:7" ht="19.5" customHeight="1">
      <c r="A34" s="3466"/>
      <c r="B34" s="3462"/>
      <c r="C34" s="2847" t="s">
        <v>2466</v>
      </c>
      <c r="D34" s="2848"/>
      <c r="E34" s="2849">
        <v>0.6</v>
      </c>
      <c r="F34" s="2846" t="s">
        <v>2467</v>
      </c>
      <c r="G34" s="2846"/>
    </row>
    <row r="35" spans="1:7" ht="19.5" customHeight="1">
      <c r="A35" s="3466"/>
      <c r="B35" s="3462"/>
      <c r="C35" s="2847" t="s">
        <v>2468</v>
      </c>
      <c r="D35" s="2848"/>
      <c r="E35" s="2849">
        <v>0.2</v>
      </c>
      <c r="F35" s="2846" t="s">
        <v>2469</v>
      </c>
      <c r="G35" s="2846"/>
    </row>
    <row r="36" spans="1:7" ht="19.5" customHeight="1">
      <c r="A36" s="3466"/>
      <c r="B36" s="3462"/>
      <c r="C36" s="2847" t="s">
        <v>2470</v>
      </c>
      <c r="D36" s="2848"/>
      <c r="E36" s="2849">
        <v>0.2</v>
      </c>
      <c r="F36" s="2846" t="s">
        <v>2471</v>
      </c>
      <c r="G36" s="2846"/>
    </row>
    <row r="37" spans="1:7" ht="19.5" customHeight="1">
      <c r="A37" s="3466"/>
      <c r="B37" s="3460" t="s">
        <v>2632</v>
      </c>
      <c r="C37" s="2847" t="s">
        <v>2472</v>
      </c>
      <c r="D37" s="2848"/>
      <c r="E37" s="2849">
        <v>0.6</v>
      </c>
      <c r="F37" s="2846" t="s">
        <v>2473</v>
      </c>
      <c r="G37" s="2846"/>
    </row>
    <row r="38" spans="1:7" ht="19.5" customHeight="1">
      <c r="A38" s="3466"/>
      <c r="B38" s="3462"/>
      <c r="C38" s="2847" t="s">
        <v>2474</v>
      </c>
      <c r="D38" s="2848"/>
      <c r="E38" s="2849">
        <v>0.6</v>
      </c>
      <c r="F38" s="2846" t="s">
        <v>2475</v>
      </c>
      <c r="G38" s="2846"/>
    </row>
    <row r="39" spans="1:7" ht="19.5" customHeight="1" thickBot="1">
      <c r="A39" s="3467"/>
      <c r="B39" s="346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8" t="s">
        <v>2610</v>
      </c>
      <c r="B41" s="3463" t="s">
        <v>2634</v>
      </c>
      <c r="C41" s="2843" t="s">
        <v>2479</v>
      </c>
      <c r="D41" s="2844"/>
      <c r="E41" s="2845">
        <v>1</v>
      </c>
      <c r="F41" s="2846" t="s">
        <v>2480</v>
      </c>
      <c r="G41" s="2846"/>
    </row>
    <row r="42" spans="1:7" ht="19.5" customHeight="1">
      <c r="A42" s="3469"/>
      <c r="B42" s="3462"/>
      <c r="C42" s="2847" t="s">
        <v>2481</v>
      </c>
      <c r="D42" s="2848"/>
      <c r="E42" s="2849">
        <v>1</v>
      </c>
      <c r="F42" s="2846" t="s">
        <v>2482</v>
      </c>
      <c r="G42" s="2846"/>
    </row>
    <row r="43" spans="1:7" ht="19.5" customHeight="1">
      <c r="A43" s="3469"/>
      <c r="B43" s="3461"/>
      <c r="C43" s="2847" t="s">
        <v>2483</v>
      </c>
      <c r="D43" s="2848"/>
      <c r="E43" s="2849">
        <v>1.5</v>
      </c>
      <c r="F43" s="2846" t="s">
        <v>2484</v>
      </c>
      <c r="G43" s="2846"/>
    </row>
    <row r="44" spans="1:7" ht="19.5" customHeight="1">
      <c r="A44" s="3469"/>
      <c r="B44" s="2858" t="s">
        <v>2635</v>
      </c>
      <c r="C44" s="2847" t="s">
        <v>2636</v>
      </c>
      <c r="D44" s="2848"/>
      <c r="E44" s="2849">
        <v>2</v>
      </c>
      <c r="F44" s="2846" t="s">
        <v>2485</v>
      </c>
      <c r="G44" s="2846"/>
    </row>
    <row r="45" spans="1:7" ht="19.5" customHeight="1">
      <c r="A45" s="3469"/>
      <c r="B45" s="3460" t="s">
        <v>2637</v>
      </c>
      <c r="C45" s="2847" t="s">
        <v>2486</v>
      </c>
      <c r="D45" s="2848"/>
      <c r="E45" s="2849">
        <v>1</v>
      </c>
      <c r="F45" s="2846" t="s">
        <v>2487</v>
      </c>
      <c r="G45" s="2846"/>
    </row>
    <row r="46" spans="1:7" ht="19.5" customHeight="1">
      <c r="A46" s="3469"/>
      <c r="B46" s="3462"/>
      <c r="C46" s="2847" t="s">
        <v>2488</v>
      </c>
      <c r="D46" s="2848"/>
      <c r="E46" s="2849">
        <v>1</v>
      </c>
      <c r="F46" s="2846" t="s">
        <v>2489</v>
      </c>
      <c r="G46" s="2846"/>
    </row>
    <row r="47" spans="1:7" ht="19.5" customHeight="1">
      <c r="A47" s="3469"/>
      <c r="B47" s="3462"/>
      <c r="C47" s="2847" t="s">
        <v>2490</v>
      </c>
      <c r="D47" s="2848"/>
      <c r="E47" s="2849">
        <v>1</v>
      </c>
      <c r="F47" s="2846" t="s">
        <v>2491</v>
      </c>
      <c r="G47" s="2846"/>
    </row>
    <row r="48" spans="1:7" ht="19.5" customHeight="1">
      <c r="A48" s="3469"/>
      <c r="B48" s="3462"/>
      <c r="C48" s="2847" t="s">
        <v>2492</v>
      </c>
      <c r="D48" s="2848"/>
      <c r="E48" s="2849">
        <v>1</v>
      </c>
      <c r="F48" s="2846" t="s">
        <v>2493</v>
      </c>
      <c r="G48" s="2846"/>
    </row>
    <row r="49" spans="1:7" ht="19.5" customHeight="1">
      <c r="A49" s="3469"/>
      <c r="B49" s="3462"/>
      <c r="C49" s="2847" t="s">
        <v>2494</v>
      </c>
      <c r="D49" s="2848"/>
      <c r="E49" s="2849">
        <v>1</v>
      </c>
      <c r="F49" s="2846" t="s">
        <v>2495</v>
      </c>
      <c r="G49" s="2846"/>
    </row>
    <row r="50" spans="1:7" ht="19.5" customHeight="1">
      <c r="A50" s="3469"/>
      <c r="B50" s="3462"/>
      <c r="C50" s="2847" t="s">
        <v>2496</v>
      </c>
      <c r="D50" s="2848"/>
      <c r="E50" s="2849">
        <v>1</v>
      </c>
      <c r="F50" s="2846" t="s">
        <v>2497</v>
      </c>
      <c r="G50" s="2846"/>
    </row>
    <row r="51" spans="1:7" ht="19.5" customHeight="1" thickBot="1">
      <c r="A51" s="3470"/>
      <c r="B51" s="346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0" t="s">
        <v>2651</v>
      </c>
      <c r="C73" s="2832" t="s">
        <v>2652</v>
      </c>
      <c r="D73" s="2832" t="s">
        <v>2653</v>
      </c>
      <c r="E73" s="2858">
        <v>0.2</v>
      </c>
      <c r="F73" s="2858">
        <v>25</v>
      </c>
    </row>
    <row r="74" spans="1:7" ht="24">
      <c r="A74" s="2858">
        <v>2</v>
      </c>
      <c r="B74" s="3462"/>
      <c r="C74" s="2832" t="s">
        <v>2654</v>
      </c>
      <c r="D74" s="2832" t="s">
        <v>2655</v>
      </c>
      <c r="E74" s="2858">
        <v>0.2</v>
      </c>
      <c r="F74" s="2858">
        <v>25</v>
      </c>
    </row>
    <row r="75" spans="1:7" ht="24">
      <c r="A75" s="2858">
        <v>3</v>
      </c>
      <c r="B75" s="3462"/>
      <c r="C75" s="2832" t="s">
        <v>2656</v>
      </c>
      <c r="D75" s="2832" t="s">
        <v>2657</v>
      </c>
      <c r="E75" s="2858">
        <v>0.2</v>
      </c>
      <c r="F75" s="2858">
        <v>25</v>
      </c>
    </row>
    <row r="76" spans="1:7" ht="13.5">
      <c r="A76" s="2858">
        <v>4</v>
      </c>
      <c r="B76" s="3462"/>
      <c r="C76" s="2832" t="s">
        <v>2658</v>
      </c>
      <c r="D76" s="2832" t="s">
        <v>2659</v>
      </c>
      <c r="E76" s="2858">
        <v>0.15</v>
      </c>
      <c r="F76" s="2858">
        <v>20</v>
      </c>
    </row>
    <row r="77" spans="1:7" ht="24">
      <c r="A77" s="2858">
        <v>5</v>
      </c>
      <c r="B77" s="3462"/>
      <c r="C77" s="2832" t="s">
        <v>2660</v>
      </c>
      <c r="D77" s="2832" t="s">
        <v>2661</v>
      </c>
      <c r="E77" s="2858">
        <v>0.15</v>
      </c>
      <c r="F77" s="2858">
        <v>20</v>
      </c>
    </row>
    <row r="78" spans="1:7" ht="24">
      <c r="A78" s="2858">
        <v>6</v>
      </c>
      <c r="B78" s="3462"/>
      <c r="C78" s="2832" t="s">
        <v>2662</v>
      </c>
      <c r="D78" s="2832" t="s">
        <v>2663</v>
      </c>
      <c r="E78" s="2858">
        <v>0.15</v>
      </c>
      <c r="F78" s="2858">
        <v>20</v>
      </c>
    </row>
    <row r="79" spans="1:7" ht="24">
      <c r="A79" s="2858">
        <v>7</v>
      </c>
      <c r="B79" s="3462"/>
      <c r="C79" s="2832" t="s">
        <v>2664</v>
      </c>
      <c r="D79" s="2832" t="s">
        <v>2665</v>
      </c>
      <c r="E79" s="2858">
        <v>0.15</v>
      </c>
      <c r="F79" s="2858">
        <v>20</v>
      </c>
    </row>
    <row r="80" spans="1:7" ht="24">
      <c r="A80" s="2858">
        <v>8</v>
      </c>
      <c r="B80" s="3462"/>
      <c r="C80" s="2832" t="s">
        <v>2666</v>
      </c>
      <c r="D80" s="2832" t="s">
        <v>2667</v>
      </c>
      <c r="E80" s="2858">
        <v>0.1</v>
      </c>
      <c r="F80" s="2858">
        <v>15</v>
      </c>
    </row>
    <row r="81" spans="1:6" ht="24">
      <c r="A81" s="2858">
        <v>9</v>
      </c>
      <c r="B81" s="3462"/>
      <c r="C81" s="2832" t="s">
        <v>2668</v>
      </c>
      <c r="D81" s="2832" t="s">
        <v>2669</v>
      </c>
      <c r="E81" s="2858">
        <v>0.1</v>
      </c>
      <c r="F81" s="2858">
        <v>15</v>
      </c>
    </row>
    <row r="82" spans="1:6" ht="24">
      <c r="A82" s="2858">
        <v>10</v>
      </c>
      <c r="B82" s="3462"/>
      <c r="C82" s="2832" t="s">
        <v>2670</v>
      </c>
      <c r="D82" s="2832" t="s">
        <v>2671</v>
      </c>
      <c r="E82" s="2858">
        <v>0.1</v>
      </c>
      <c r="F82" s="2858">
        <v>15</v>
      </c>
    </row>
    <row r="83" spans="1:6" ht="24">
      <c r="A83" s="2858">
        <v>11</v>
      </c>
      <c r="B83" s="3462"/>
      <c r="C83" s="2832" t="s">
        <v>2672</v>
      </c>
      <c r="D83" s="2832" t="s">
        <v>2673</v>
      </c>
      <c r="E83" s="2858">
        <v>0.1</v>
      </c>
      <c r="F83" s="2858">
        <v>15</v>
      </c>
    </row>
    <row r="84" spans="1:6" ht="24">
      <c r="A84" s="2858">
        <v>12</v>
      </c>
      <c r="B84" s="3462"/>
      <c r="C84" s="2832" t="s">
        <v>2674</v>
      </c>
      <c r="D84" s="2832" t="s">
        <v>2675</v>
      </c>
      <c r="E84" s="2858">
        <v>0.1</v>
      </c>
      <c r="F84" s="2858">
        <v>15</v>
      </c>
    </row>
    <row r="85" spans="1:6" ht="13.5">
      <c r="A85" s="2858">
        <v>13</v>
      </c>
      <c r="B85" s="3462"/>
      <c r="C85" s="2832" t="s">
        <v>2676</v>
      </c>
      <c r="D85" s="2832" t="s">
        <v>2677</v>
      </c>
      <c r="E85" s="2858">
        <v>0.1</v>
      </c>
      <c r="F85" s="2858">
        <v>15</v>
      </c>
    </row>
    <row r="86" spans="1:6" ht="13.5">
      <c r="A86" s="2858">
        <v>14</v>
      </c>
      <c r="B86" s="3462"/>
      <c r="C86" s="2832" t="s">
        <v>2678</v>
      </c>
      <c r="D86" s="2832" t="s">
        <v>2679</v>
      </c>
      <c r="E86" s="2858">
        <v>0.1</v>
      </c>
      <c r="F86" s="2858">
        <v>15</v>
      </c>
    </row>
    <row r="87" spans="1:6" ht="13.5">
      <c r="A87" s="2858">
        <v>15</v>
      </c>
      <c r="B87" s="3462"/>
      <c r="C87" s="2832" t="s">
        <v>2680</v>
      </c>
      <c r="D87" s="2832" t="s">
        <v>2681</v>
      </c>
      <c r="E87" s="2858">
        <v>0.1</v>
      </c>
      <c r="F87" s="2858">
        <v>15</v>
      </c>
    </row>
    <row r="88" spans="1:6" ht="24">
      <c r="A88" s="2858">
        <v>16</v>
      </c>
      <c r="B88" s="3462"/>
      <c r="C88" s="2832" t="s">
        <v>2682</v>
      </c>
      <c r="D88" s="2832" t="s">
        <v>2683</v>
      </c>
      <c r="E88" s="2858">
        <v>0.1</v>
      </c>
      <c r="F88" s="2858">
        <v>15</v>
      </c>
    </row>
    <row r="89" spans="1:6" ht="24">
      <c r="A89" s="2858">
        <v>17</v>
      </c>
      <c r="B89" s="3461"/>
      <c r="C89" s="2832" t="s">
        <v>2684</v>
      </c>
      <c r="D89" s="2832" t="s">
        <v>2685</v>
      </c>
      <c r="E89" s="2858">
        <v>0.1</v>
      </c>
      <c r="F89" s="2858">
        <v>15</v>
      </c>
    </row>
    <row r="90" spans="1:6" ht="13.5">
      <c r="A90" s="2858">
        <v>18</v>
      </c>
      <c r="B90" s="3460" t="s">
        <v>2686</v>
      </c>
      <c r="C90" s="2832" t="s">
        <v>2687</v>
      </c>
      <c r="D90" s="2832" t="s">
        <v>2688</v>
      </c>
      <c r="E90" s="2858">
        <v>0.2</v>
      </c>
      <c r="F90" s="2858">
        <v>25</v>
      </c>
    </row>
    <row r="91" spans="1:6" ht="24">
      <c r="A91" s="2858">
        <v>19</v>
      </c>
      <c r="B91" s="3462"/>
      <c r="C91" s="2832" t="s">
        <v>2689</v>
      </c>
      <c r="D91" s="2832" t="s">
        <v>2690</v>
      </c>
      <c r="E91" s="2858">
        <v>0.2</v>
      </c>
      <c r="F91" s="2858">
        <v>25</v>
      </c>
    </row>
    <row r="92" spans="1:6" ht="13.5">
      <c r="A92" s="2858">
        <v>20</v>
      </c>
      <c r="B92" s="3462"/>
      <c r="C92" s="2832" t="s">
        <v>2691</v>
      </c>
      <c r="D92" s="2832" t="s">
        <v>2692</v>
      </c>
      <c r="E92" s="2858">
        <v>0.15</v>
      </c>
      <c r="F92" s="2858">
        <v>20</v>
      </c>
    </row>
    <row r="93" spans="1:6" ht="13.5">
      <c r="A93" s="2858">
        <v>21</v>
      </c>
      <c r="B93" s="3462"/>
      <c r="C93" s="2832" t="s">
        <v>2693</v>
      </c>
      <c r="D93" s="2832" t="s">
        <v>2694</v>
      </c>
      <c r="E93" s="2858">
        <v>0.15</v>
      </c>
      <c r="F93" s="2858">
        <v>20</v>
      </c>
    </row>
    <row r="94" spans="1:6" ht="13.5">
      <c r="A94" s="2858">
        <v>22</v>
      </c>
      <c r="B94" s="3462"/>
      <c r="C94" s="2832" t="s">
        <v>2695</v>
      </c>
      <c r="D94" s="2832" t="s">
        <v>2696</v>
      </c>
      <c r="E94" s="2858">
        <v>0.15</v>
      </c>
      <c r="F94" s="2858">
        <v>20</v>
      </c>
    </row>
    <row r="95" spans="1:6" ht="36">
      <c r="A95" s="2858">
        <v>23</v>
      </c>
      <c r="B95" s="3462"/>
      <c r="C95" s="2832" t="s">
        <v>2697</v>
      </c>
      <c r="D95" s="2832" t="s">
        <v>2698</v>
      </c>
      <c r="E95" s="2858">
        <v>0.15</v>
      </c>
      <c r="F95" s="2858">
        <v>20</v>
      </c>
    </row>
    <row r="96" spans="1:6" ht="13.5">
      <c r="A96" s="2858">
        <v>24</v>
      </c>
      <c r="B96" s="3462"/>
      <c r="C96" s="2832" t="s">
        <v>2699</v>
      </c>
      <c r="D96" s="2832" t="s">
        <v>2700</v>
      </c>
      <c r="E96" s="2858">
        <v>0.1</v>
      </c>
      <c r="F96" s="2858">
        <v>15</v>
      </c>
    </row>
    <row r="97" spans="1:6" ht="13.5">
      <c r="A97" s="2858">
        <v>25</v>
      </c>
      <c r="B97" s="3462"/>
      <c r="C97" s="2832" t="s">
        <v>2701</v>
      </c>
      <c r="D97" s="2832" t="s">
        <v>2702</v>
      </c>
      <c r="E97" s="2858">
        <v>0.1</v>
      </c>
      <c r="F97" s="2858">
        <v>15</v>
      </c>
    </row>
    <row r="98" spans="1:6" ht="24">
      <c r="A98" s="2858">
        <v>26</v>
      </c>
      <c r="B98" s="3462"/>
      <c r="C98" s="2832" t="s">
        <v>2703</v>
      </c>
      <c r="D98" s="2832" t="s">
        <v>2704</v>
      </c>
      <c r="E98" s="2858">
        <v>0.1</v>
      </c>
      <c r="F98" s="2858">
        <v>15</v>
      </c>
    </row>
    <row r="99" spans="1:6" ht="24">
      <c r="A99" s="2858">
        <v>27</v>
      </c>
      <c r="B99" s="3462"/>
      <c r="C99" s="2832" t="s">
        <v>2705</v>
      </c>
      <c r="D99" s="2832" t="s">
        <v>2706</v>
      </c>
      <c r="E99" s="2858">
        <v>0.1</v>
      </c>
      <c r="F99" s="2858">
        <v>15</v>
      </c>
    </row>
    <row r="100" spans="1:6" ht="13.5">
      <c r="A100" s="2858">
        <v>28</v>
      </c>
      <c r="B100" s="3462"/>
      <c r="C100" s="2832" t="s">
        <v>2707</v>
      </c>
      <c r="D100" s="2832" t="s">
        <v>2708</v>
      </c>
      <c r="E100" s="2858">
        <v>0.1</v>
      </c>
      <c r="F100" s="2858">
        <v>15</v>
      </c>
    </row>
    <row r="101" spans="1:6" ht="13.5">
      <c r="A101" s="2858">
        <v>29</v>
      </c>
      <c r="B101" s="3462"/>
      <c r="C101" s="2832" t="s">
        <v>2709</v>
      </c>
      <c r="D101" s="2832" t="s">
        <v>2710</v>
      </c>
      <c r="E101" s="2858">
        <v>0.1</v>
      </c>
      <c r="F101" s="2858">
        <v>15</v>
      </c>
    </row>
    <row r="102" spans="1:6" ht="13.5">
      <c r="A102" s="2858">
        <v>30</v>
      </c>
      <c r="B102" s="3462"/>
      <c r="C102" s="2832" t="s">
        <v>2711</v>
      </c>
      <c r="D102" s="2832" t="s">
        <v>2712</v>
      </c>
      <c r="E102" s="2858">
        <v>0.1</v>
      </c>
      <c r="F102" s="2858">
        <v>15</v>
      </c>
    </row>
    <row r="103" spans="1:6" ht="24">
      <c r="A103" s="2858">
        <v>31</v>
      </c>
      <c r="B103" s="3462"/>
      <c r="C103" s="2832" t="s">
        <v>2713</v>
      </c>
      <c r="D103" s="2832" t="s">
        <v>2714</v>
      </c>
      <c r="E103" s="2858">
        <v>0.1</v>
      </c>
      <c r="F103" s="2858">
        <v>15</v>
      </c>
    </row>
    <row r="104" spans="1:6" ht="24">
      <c r="A104" s="2858">
        <v>32</v>
      </c>
      <c r="B104" s="3462"/>
      <c r="C104" s="2832" t="s">
        <v>2715</v>
      </c>
      <c r="D104" s="2832" t="s">
        <v>2716</v>
      </c>
      <c r="E104" s="2858">
        <v>0.1</v>
      </c>
      <c r="F104" s="2858">
        <v>15</v>
      </c>
    </row>
    <row r="105" spans="1:6" ht="24">
      <c r="A105" s="2858">
        <v>33</v>
      </c>
      <c r="B105" s="3462"/>
      <c r="C105" s="2832" t="s">
        <v>2717</v>
      </c>
      <c r="D105" s="2832" t="s">
        <v>2718</v>
      </c>
      <c r="E105" s="2858">
        <v>0.1</v>
      </c>
      <c r="F105" s="2858">
        <v>15</v>
      </c>
    </row>
    <row r="106" spans="1:6" ht="24">
      <c r="A106" s="2858">
        <v>34</v>
      </c>
      <c r="B106" s="3461"/>
      <c r="C106" s="2832" t="s">
        <v>2719</v>
      </c>
      <c r="D106" s="2832" t="s">
        <v>2720</v>
      </c>
      <c r="E106" s="2858">
        <v>0.1</v>
      </c>
      <c r="F106" s="2858">
        <v>15</v>
      </c>
    </row>
    <row r="107" spans="1:6" ht="24">
      <c r="A107" s="2858">
        <v>35</v>
      </c>
      <c r="B107" s="3460" t="s">
        <v>2721</v>
      </c>
      <c r="C107" s="2858" t="s">
        <v>2722</v>
      </c>
      <c r="D107" s="2832" t="s">
        <v>2723</v>
      </c>
      <c r="E107" s="2858">
        <v>0.15</v>
      </c>
      <c r="F107" s="2858">
        <v>20</v>
      </c>
    </row>
    <row r="108" spans="1:6" ht="13.5">
      <c r="A108" s="2858">
        <v>36</v>
      </c>
      <c r="B108" s="3462"/>
      <c r="C108" s="2858" t="s">
        <v>2724</v>
      </c>
      <c r="D108" s="2832" t="s">
        <v>2725</v>
      </c>
      <c r="E108" s="2858">
        <v>0.15</v>
      </c>
      <c r="F108" s="2858">
        <v>20</v>
      </c>
    </row>
    <row r="109" spans="1:6" ht="13.5">
      <c r="A109" s="2858">
        <v>37</v>
      </c>
      <c r="B109" s="3462"/>
      <c r="C109" s="2858" t="s">
        <v>2726</v>
      </c>
      <c r="D109" s="2832" t="s">
        <v>2727</v>
      </c>
      <c r="E109" s="2858">
        <v>0.15</v>
      </c>
      <c r="F109" s="2858">
        <v>20</v>
      </c>
    </row>
    <row r="110" spans="1:6" ht="13.5">
      <c r="A110" s="2858">
        <v>38</v>
      </c>
      <c r="B110" s="3462"/>
      <c r="C110" s="2858" t="s">
        <v>2728</v>
      </c>
      <c r="D110" s="2832" t="s">
        <v>2729</v>
      </c>
      <c r="E110" s="2858">
        <v>0.1</v>
      </c>
      <c r="F110" s="2858">
        <v>15</v>
      </c>
    </row>
    <row r="111" spans="1:6" ht="24">
      <c r="A111" s="2858">
        <v>39</v>
      </c>
      <c r="B111" s="3462"/>
      <c r="C111" s="2858" t="s">
        <v>2730</v>
      </c>
      <c r="D111" s="2832" t="s">
        <v>2731</v>
      </c>
      <c r="E111" s="2858">
        <v>0.1</v>
      </c>
      <c r="F111" s="2858">
        <v>15</v>
      </c>
    </row>
    <row r="112" spans="1:6" ht="24">
      <c r="A112" s="2858">
        <v>40</v>
      </c>
      <c r="B112" s="3461"/>
      <c r="C112" s="2858" t="s">
        <v>2732</v>
      </c>
      <c r="D112" s="2832" t="s">
        <v>2733</v>
      </c>
      <c r="E112" s="2858">
        <v>0.1</v>
      </c>
      <c r="F112" s="2858">
        <v>15</v>
      </c>
    </row>
    <row r="113" spans="1:6" ht="13.5">
      <c r="A113" s="2858">
        <v>41</v>
      </c>
      <c r="B113" s="3459" t="s">
        <v>2734</v>
      </c>
      <c r="C113" s="2858" t="s">
        <v>2735</v>
      </c>
      <c r="D113" s="2832" t="s">
        <v>2736</v>
      </c>
      <c r="E113" s="2858">
        <v>0.1</v>
      </c>
      <c r="F113" s="2858">
        <v>15</v>
      </c>
    </row>
    <row r="114" spans="1:6" ht="13.5">
      <c r="A114" s="2858">
        <v>42</v>
      </c>
      <c r="B114" s="3459"/>
      <c r="C114" s="2858" t="s">
        <v>2737</v>
      </c>
      <c r="D114" s="2832" t="s">
        <v>2738</v>
      </c>
      <c r="E114" s="2858">
        <v>0.1</v>
      </c>
      <c r="F114" s="2858">
        <v>15</v>
      </c>
    </row>
    <row r="115" spans="1:6" ht="24">
      <c r="A115" s="2858">
        <v>43</v>
      </c>
      <c r="B115" s="3459"/>
      <c r="C115" s="2858" t="s">
        <v>2739</v>
      </c>
      <c r="D115" s="2832" t="s">
        <v>2740</v>
      </c>
      <c r="E115" s="2858">
        <v>0.1</v>
      </c>
      <c r="F115" s="2858">
        <v>15</v>
      </c>
    </row>
    <row r="116" spans="1:6" ht="13.5">
      <c r="A116" s="2858">
        <v>44</v>
      </c>
      <c r="B116" s="3460" t="s">
        <v>2741</v>
      </c>
      <c r="C116" s="2858" t="s">
        <v>2742</v>
      </c>
      <c r="D116" s="2832" t="s">
        <v>2743</v>
      </c>
      <c r="E116" s="2858">
        <v>0.1</v>
      </c>
      <c r="F116" s="2858">
        <v>15</v>
      </c>
    </row>
    <row r="117" spans="1:6" ht="24">
      <c r="A117" s="2858">
        <v>45</v>
      </c>
      <c r="B117" s="3461"/>
      <c r="C117" s="2832" t="s">
        <v>2744</v>
      </c>
      <c r="D117" s="2832" t="s">
        <v>2745</v>
      </c>
      <c r="E117" s="2858">
        <v>0.1</v>
      </c>
      <c r="F117" s="2858">
        <v>15</v>
      </c>
    </row>
    <row r="118" spans="1:6" ht="24">
      <c r="A118" s="2858">
        <v>46</v>
      </c>
      <c r="B118" s="3460" t="s">
        <v>2746</v>
      </c>
      <c r="C118" s="2858" t="s">
        <v>2747</v>
      </c>
      <c r="D118" s="2832" t="s">
        <v>2748</v>
      </c>
      <c r="E118" s="2858">
        <v>0.1</v>
      </c>
      <c r="F118" s="2858">
        <v>15</v>
      </c>
    </row>
    <row r="119" spans="1:6" ht="24">
      <c r="A119" s="2858">
        <v>47</v>
      </c>
      <c r="B119" s="3461"/>
      <c r="C119" s="2858" t="s">
        <v>2749</v>
      </c>
      <c r="D119" s="2832" t="s">
        <v>2750</v>
      </c>
      <c r="E119" s="2858">
        <v>0.1</v>
      </c>
      <c r="F119" s="2858">
        <v>15</v>
      </c>
    </row>
    <row r="120" spans="1:6" ht="13.5">
      <c r="A120" s="2858">
        <v>48</v>
      </c>
      <c r="B120" s="3460" t="s">
        <v>2751</v>
      </c>
      <c r="C120" s="2858" t="s">
        <v>2752</v>
      </c>
      <c r="D120" s="2832" t="s">
        <v>2753</v>
      </c>
      <c r="E120" s="2858">
        <v>0.1</v>
      </c>
      <c r="F120" s="2858">
        <v>15</v>
      </c>
    </row>
    <row r="121" spans="1:6" ht="13.5">
      <c r="A121" s="2858">
        <v>49</v>
      </c>
      <c r="B121" s="3461"/>
      <c r="C121" s="2858" t="s">
        <v>2754</v>
      </c>
      <c r="D121" s="2832" t="s">
        <v>2755</v>
      </c>
      <c r="E121" s="2858">
        <v>0.1</v>
      </c>
      <c r="F121" s="2858">
        <v>15</v>
      </c>
    </row>
    <row r="122" spans="1:6" ht="24">
      <c r="A122" s="2858">
        <v>50</v>
      </c>
      <c r="B122" s="3459" t="s">
        <v>2756</v>
      </c>
      <c r="C122" s="2858" t="s">
        <v>2757</v>
      </c>
      <c r="D122" s="2832" t="s">
        <v>2758</v>
      </c>
      <c r="E122" s="2858">
        <v>0.1</v>
      </c>
      <c r="F122" s="2858">
        <v>15</v>
      </c>
    </row>
    <row r="123" spans="1:6" ht="24">
      <c r="A123" s="2858">
        <v>51</v>
      </c>
      <c r="B123" s="3459"/>
      <c r="C123" s="2858" t="s">
        <v>2759</v>
      </c>
      <c r="D123" s="2832" t="s">
        <v>2760</v>
      </c>
      <c r="E123" s="2858">
        <v>0.1</v>
      </c>
      <c r="F123" s="2858">
        <v>15</v>
      </c>
    </row>
    <row r="124" spans="1:6" ht="24">
      <c r="A124" s="2858">
        <v>52</v>
      </c>
      <c r="B124" s="3459" t="s">
        <v>2761</v>
      </c>
      <c r="C124" s="2858" t="s">
        <v>2762</v>
      </c>
      <c r="D124" s="2832" t="s">
        <v>2763</v>
      </c>
      <c r="E124" s="2858">
        <v>0.1</v>
      </c>
      <c r="F124" s="2858">
        <v>15</v>
      </c>
    </row>
    <row r="125" spans="1:6" ht="24">
      <c r="A125" s="2858">
        <v>53</v>
      </c>
      <c r="B125" s="345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59" t="s">
        <v>2769</v>
      </c>
      <c r="C127" s="2858" t="s">
        <v>2770</v>
      </c>
      <c r="D127" s="2832" t="s">
        <v>2771</v>
      </c>
      <c r="E127" s="2858">
        <v>0.1</v>
      </c>
      <c r="F127" s="2858">
        <v>15</v>
      </c>
    </row>
    <row r="128" spans="1:6" ht="13.5">
      <c r="A128" s="2858">
        <v>56</v>
      </c>
      <c r="B128" s="3459"/>
      <c r="C128" s="2858" t="s">
        <v>2772</v>
      </c>
      <c r="D128" s="2832" t="s">
        <v>2773</v>
      </c>
      <c r="E128" s="2858">
        <v>0.1</v>
      </c>
      <c r="F128" s="2858">
        <v>15</v>
      </c>
    </row>
    <row r="129" spans="1:6" ht="24">
      <c r="A129" s="2858">
        <v>57</v>
      </c>
      <c r="B129" s="3459"/>
      <c r="C129" s="2858" t="s">
        <v>2774</v>
      </c>
      <c r="D129" s="2832" t="s">
        <v>2775</v>
      </c>
      <c r="E129" s="2858">
        <v>0.1</v>
      </c>
      <c r="F129" s="2858">
        <v>15</v>
      </c>
    </row>
    <row r="130" spans="1:6" ht="24">
      <c r="A130" s="2858">
        <v>58</v>
      </c>
      <c r="B130" s="3459" t="s">
        <v>2776</v>
      </c>
      <c r="C130" s="2858" t="s">
        <v>2777</v>
      </c>
      <c r="D130" s="2832" t="s">
        <v>2778</v>
      </c>
      <c r="E130" s="2858">
        <v>0.1</v>
      </c>
      <c r="F130" s="2858">
        <v>15</v>
      </c>
    </row>
    <row r="131" spans="1:6" ht="13.5">
      <c r="A131" s="2858">
        <v>59</v>
      </c>
      <c r="B131" s="3459"/>
      <c r="C131" s="2858" t="s">
        <v>2779</v>
      </c>
      <c r="D131" s="2832" t="s">
        <v>2780</v>
      </c>
      <c r="E131" s="2858">
        <v>0.1</v>
      </c>
      <c r="F131" s="2858">
        <v>15</v>
      </c>
    </row>
    <row r="132" spans="1:6" ht="13.5">
      <c r="A132" s="2858">
        <v>60</v>
      </c>
      <c r="B132" s="3460" t="s">
        <v>2781</v>
      </c>
      <c r="C132" s="2858" t="s">
        <v>2782</v>
      </c>
      <c r="D132" s="2832" t="s">
        <v>2783</v>
      </c>
      <c r="E132" s="2858">
        <v>0.1</v>
      </c>
      <c r="F132" s="2858">
        <v>15</v>
      </c>
    </row>
    <row r="133" spans="1:6" ht="13.5">
      <c r="A133" s="2858">
        <v>61</v>
      </c>
      <c r="B133" s="346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59" t="s">
        <v>2789</v>
      </c>
      <c r="C135" s="2858" t="s">
        <v>2790</v>
      </c>
      <c r="D135" s="2832" t="s">
        <v>2791</v>
      </c>
      <c r="E135" s="2858">
        <v>0.1</v>
      </c>
      <c r="F135" s="2858">
        <v>15</v>
      </c>
    </row>
    <row r="136" spans="1:6" ht="13.5">
      <c r="A136" s="2858">
        <v>64</v>
      </c>
      <c r="B136" s="345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2589</v>
      </c>
    </row>
    <row r="6" spans="1:5" ht="15.75">
      <c r="B6" s="3156"/>
      <c r="C6" s="1392" t="s">
        <v>911</v>
      </c>
      <c r="D6" s="797" t="str">
        <f ca="1">NUMBERSTRING(INT(D5*10000),2)&amp;"元整"</f>
        <v>贰仟伍佰捌拾玖万元整</v>
      </c>
    </row>
    <row r="7" spans="1:5" ht="15.75">
      <c r="B7" s="3161"/>
      <c r="C7" s="1393" t="s">
        <v>912</v>
      </c>
      <c r="D7" s="798">
        <f ca="1">结果表!H102</f>
        <v>54409</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2589</v>
      </c>
    </row>
    <row r="14" spans="1:5" ht="15.75">
      <c r="B14" s="3156"/>
      <c r="C14" s="1392" t="s">
        <v>911</v>
      </c>
      <c r="D14" s="797" t="str">
        <f ca="1">NUMBERSTRING(INT(D13*10000),2)&amp;"元整"</f>
        <v>贰仟伍佰捌拾玖万元整</v>
      </c>
    </row>
    <row r="15" spans="1:5" ht="15">
      <c r="B15" s="3161"/>
      <c r="C15" s="1393" t="s">
        <v>921</v>
      </c>
      <c r="D15" s="806">
        <f ca="1">结果表!H108</f>
        <v>54409</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0.95120000000000005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28906</v>
      </c>
      <c r="C2" s="2" t="s">
        <v>106</v>
      </c>
      <c r="D2" s="191"/>
      <c r="E2" s="191"/>
      <c r="F2" s="191"/>
      <c r="G2" s="191"/>
    </row>
    <row r="3" spans="1:7" s="192" customFormat="1" ht="18" customHeight="1" thickBot="1">
      <c r="A3" s="195" t="s">
        <v>58</v>
      </c>
      <c r="B3" s="196">
        <f ca="1">ROUND(B2*10000/'数据-汇总表'!E3,0)</f>
        <v>607524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10</v>
      </c>
      <c r="D10" s="795">
        <f>'数据-汇总表'!E6</f>
        <v>475.8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475.8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475.8</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5.9999999999999995E-4</v>
      </c>
      <c r="D44" s="230"/>
      <c r="E44" s="230"/>
      <c r="F44" s="231"/>
      <c r="G44" s="3338"/>
    </row>
    <row r="45" spans="1:7" s="206" customFormat="1" ht="13.5" customHeight="1">
      <c r="A45" s="731" t="s">
        <v>341</v>
      </c>
      <c r="B45" s="236" t="s">
        <v>85</v>
      </c>
      <c r="C45" s="237">
        <f>C46</f>
        <v>28</v>
      </c>
      <c r="D45" s="227">
        <f>C47</f>
        <v>4.0000000000000001E-3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187</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112</v>
      </c>
      <c r="D51" s="224"/>
      <c r="E51" s="224"/>
      <c r="F51" s="256"/>
      <c r="G51" s="226" t="s">
        <v>37</v>
      </c>
    </row>
    <row r="52" spans="1:7" s="200" customFormat="1" ht="16.5" thickBot="1">
      <c r="A52" s="257" t="s">
        <v>38</v>
      </c>
      <c r="B52" s="258"/>
      <c r="C52" s="259">
        <f ca="1">C31+C51</f>
        <v>28906</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2839</v>
      </c>
      <c r="B1" s="3473"/>
      <c r="C1" s="3473"/>
      <c r="D1" s="3473"/>
      <c r="E1" s="3473"/>
      <c r="F1" s="3473"/>
      <c r="G1" s="347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3181</v>
      </c>
      <c r="B1" s="3475"/>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6" t="s">
        <v>3232</v>
      </c>
      <c r="B1" s="3476"/>
      <c r="C1" s="3476"/>
      <c r="D1" s="3476"/>
      <c r="E1" s="3476"/>
      <c r="F1" s="3477"/>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5" sqref="E15"/>
    </sheetView>
  </sheetViews>
  <sheetFormatPr defaultRowHeight="13.5"/>
  <cols>
    <col min="1" max="1" width="13.875" customWidth="1"/>
    <col min="11" max="17" width="0" hidden="1" customWidth="1"/>
    <col min="25" max="30" width="0" hidden="1" customWidth="1"/>
  </cols>
  <sheetData>
    <row r="1" spans="1:30">
      <c r="A1" s="2938">
        <f>基准地价修正!G23</f>
        <v>45716</v>
      </c>
      <c r="B1" s="2930" t="s">
        <v>3379</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3382</v>
      </c>
    </row>
    <row r="24" spans="1:30">
      <c r="I24" s="1405" t="s">
        <v>2825</v>
      </c>
    </row>
    <row r="26" spans="1:30" s="2009" customFormat="1" ht="12.75">
      <c r="B26" s="2930" t="s">
        <v>3380</v>
      </c>
      <c r="C26" s="2931"/>
      <c r="D26" s="2931"/>
      <c r="E26" s="2931"/>
      <c r="F26" s="2931"/>
      <c r="G26" s="2931"/>
      <c r="H26" s="2931"/>
      <c r="I26" s="2931"/>
      <c r="J26" s="2897"/>
      <c r="K26" s="2931" t="s">
        <v>2826</v>
      </c>
      <c r="L26" s="2931"/>
      <c r="M26" s="2931"/>
      <c r="N26" s="2931"/>
      <c r="O26" s="2931"/>
      <c r="P26" s="2931"/>
      <c r="Q26" s="2897"/>
      <c r="R26" s="3478" t="s">
        <v>2827</v>
      </c>
      <c r="S26" s="3479"/>
      <c r="T26" s="3479"/>
      <c r="U26" s="3479"/>
      <c r="V26" s="3479"/>
      <c r="W26" s="3479"/>
      <c r="X26" s="2897"/>
      <c r="Y26" s="3478" t="s">
        <v>2828</v>
      </c>
      <c r="Z26" s="3479"/>
      <c r="AA26" s="3479"/>
      <c r="AB26" s="3479"/>
      <c r="AC26" s="3479"/>
      <c r="AD26" s="3479"/>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45716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475.8</v>
      </c>
      <c r="C4" s="801">
        <f>项目基本情况!C18</f>
        <v>0</v>
      </c>
      <c r="D4" s="801">
        <f ca="1">结果表!D118</f>
        <v>2470</v>
      </c>
      <c r="E4" s="801">
        <f ca="1">结果表!E118</f>
        <v>51906</v>
      </c>
      <c r="F4" s="801">
        <f ca="1">结果表!F118</f>
        <v>119</v>
      </c>
      <c r="G4" s="801">
        <f ca="1">结果表!G118</f>
        <v>2503</v>
      </c>
      <c r="H4" s="801">
        <f ca="1">结果表!H118</f>
        <v>2589</v>
      </c>
      <c r="I4" s="801">
        <f ca="1">结果表!I118</f>
        <v>54409</v>
      </c>
    </row>
    <row r="5" spans="1:9" ht="30" customHeight="1">
      <c r="A5" s="3168" t="s">
        <v>927</v>
      </c>
      <c r="B5" s="3168"/>
      <c r="C5" s="3168"/>
      <c r="D5" s="3168" t="str">
        <f ca="1">结果表!D119</f>
        <v>贰仟肆佰柒拾万元整</v>
      </c>
      <c r="E5" s="3168"/>
      <c r="F5" s="3168" t="str">
        <f ca="1">结果表!F119</f>
        <v>壹佰壹拾玖万元整</v>
      </c>
      <c r="G5" s="3168"/>
      <c r="H5" s="3168" t="str">
        <f ca="1">结果表!H119</f>
        <v>贰仟伍佰捌拾玖万元整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2589</v>
      </c>
      <c r="E8" s="3167"/>
      <c r="F8" s="3167"/>
      <c r="G8" s="3167"/>
      <c r="H8" s="3167"/>
      <c r="I8" s="3167"/>
    </row>
    <row r="9" spans="1:9" ht="15">
      <c r="A9" s="3168" t="s">
        <v>927</v>
      </c>
      <c r="B9" s="3168"/>
      <c r="C9" s="3168"/>
      <c r="D9" s="3168" t="str">
        <f ca="1">结果表!D123</f>
        <v>贰仟伍佰捌拾玖万元整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45716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 (元)</vt:lpstr>
      <vt:lpstr>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2025-02-28T06:05:02Z</dcterms:modified>
</cp:coreProperties>
</file>