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D:\2025\2025-1-0808-通州区经海六路1号院1号楼7层708、709\2025-1-0808-通州区经海六路1号院1号楼7层708、709\F01\过程\"/>
    </mc:Choice>
  </mc:AlternateContent>
  <xr:revisionPtr revIDLastSave="0" documentId="13_ncr:1_{67306D0C-B10A-48C1-84E9-1D0EF43EFC5A}"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D93" i="33" l="1"/>
  <c r="E93" i="33" s="1"/>
  <c r="G27" i="9" l="1"/>
  <c r="D77" i="33"/>
  <c r="E77" i="33" s="1"/>
  <c r="D79" i="33"/>
  <c r="E79" i="33"/>
  <c r="F17" i="33" s="1"/>
  <c r="R47" i="33"/>
  <c r="T47" i="33"/>
  <c r="V20" i="1"/>
  <c r="T19" i="1"/>
  <c r="F19" i="6"/>
  <c r="E19" i="6" s="1"/>
  <c r="U6" i="43" s="1"/>
  <c r="D3" i="4"/>
  <c r="D15" i="4"/>
  <c r="F6" i="1" s="1"/>
  <c r="B2" i="1"/>
  <c r="G23" i="43" s="1"/>
  <c r="D33" i="43"/>
  <c r="G23" i="4"/>
  <c r="G24" i="4"/>
  <c r="N18" i="1"/>
  <c r="E15" i="4"/>
  <c r="G24" i="43"/>
  <c r="J24" i="43"/>
  <c r="G3" i="43"/>
  <c r="E26" i="43" s="1"/>
  <c r="G26" i="43"/>
  <c r="G2" i="43"/>
  <c r="C27" i="43" s="1"/>
  <c r="C25" i="43" s="1"/>
  <c r="I2" i="43"/>
  <c r="M2" i="43" s="1"/>
  <c r="K21" i="43"/>
  <c r="L21" i="43"/>
  <c r="C17" i="43"/>
  <c r="F61" i="43"/>
  <c r="H61" i="43" s="1"/>
  <c r="G61" i="43" s="1"/>
  <c r="H65" i="43"/>
  <c r="G65" i="43" s="1"/>
  <c r="C22"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B87" i="71"/>
  <c r="B86" i="71"/>
  <c r="D85" i="71"/>
  <c r="F84" i="71"/>
  <c r="E84" i="71"/>
  <c r="E83" i="71"/>
  <c r="E82" i="71" s="1"/>
  <c r="C84" i="71"/>
  <c r="D84" i="71" s="1"/>
  <c r="B84" i="71"/>
  <c r="F83" i="71"/>
  <c r="F82" i="71"/>
  <c r="C83" i="71"/>
  <c r="C82" i="71" s="1"/>
  <c r="D82" i="71" s="1"/>
  <c r="B83" i="71"/>
  <c r="B82" i="71"/>
  <c r="D81" i="71"/>
  <c r="Q80" i="71"/>
  <c r="P80" i="71"/>
  <c r="O80" i="71"/>
  <c r="N80" i="71"/>
  <c r="F80" i="71"/>
  <c r="V80" i="71" s="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Q70" i="71"/>
  <c r="P70" i="71"/>
  <c r="O70" i="71"/>
  <c r="N70" i="71"/>
  <c r="Q69" i="71"/>
  <c r="P69" i="71"/>
  <c r="O69" i="71"/>
  <c r="N69" i="71"/>
  <c r="D69" i="71"/>
  <c r="S68" i="71"/>
  <c r="F68" i="71"/>
  <c r="E68" i="71"/>
  <c r="P68" i="71" s="1"/>
  <c r="C68" i="71"/>
  <c r="C67" i="71" s="1"/>
  <c r="B68" i="71"/>
  <c r="B67" i="71" s="1"/>
  <c r="N68" i="7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s="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C43" i="71" s="1"/>
  <c r="N41" i="71"/>
  <c r="B42" i="71"/>
  <c r="B43" i="71" s="1"/>
  <c r="B44" i="71" s="1"/>
  <c r="S44" i="71" s="1"/>
  <c r="D41" i="71"/>
  <c r="AH40" i="71"/>
  <c r="AG40" i="71"/>
  <c r="AE40" i="71"/>
  <c r="AF40" i="71" s="1"/>
  <c r="AD40" i="71"/>
  <c r="Q40" i="71"/>
  <c r="P40" i="71"/>
  <c r="O40" i="71"/>
  <c r="N40" i="71"/>
  <c r="AH39" i="71"/>
  <c r="AG39" i="71"/>
  <c r="AE39" i="71"/>
  <c r="AF39" i="71"/>
  <c r="AD39" i="71"/>
  <c r="Q39" i="71"/>
  <c r="P39" i="71"/>
  <c r="AA39" i="71" s="1"/>
  <c r="O39" i="71"/>
  <c r="Y39" i="71" s="1"/>
  <c r="Z39" i="71" s="1"/>
  <c r="N39" i="71"/>
  <c r="X39" i="71" s="1"/>
  <c r="AH38" i="71"/>
  <c r="AG38" i="71"/>
  <c r="AE38" i="71"/>
  <c r="AF38" i="71"/>
  <c r="AD38" i="71"/>
  <c r="Q38" i="71"/>
  <c r="P38" i="71"/>
  <c r="AA38" i="71"/>
  <c r="O38" i="71"/>
  <c r="Y35" i="71"/>
  <c r="Z35" i="71"/>
  <c r="N38" i="71"/>
  <c r="X38" i="71" s="1"/>
  <c r="AH37" i="71"/>
  <c r="AG37" i="71"/>
  <c r="AE37" i="71"/>
  <c r="AF37" i="71" s="1"/>
  <c r="AD37" i="71"/>
  <c r="Q37" i="71"/>
  <c r="P37" i="71"/>
  <c r="E38" i="71" s="1"/>
  <c r="E39" i="71" s="1"/>
  <c r="E40" i="71" s="1"/>
  <c r="U40" i="71" s="1"/>
  <c r="O37" i="71"/>
  <c r="C38" i="71" s="1"/>
  <c r="N37" i="71"/>
  <c r="B38" i="71"/>
  <c r="B39" i="71"/>
  <c r="B40" i="71"/>
  <c r="S40" i="71" s="1"/>
  <c r="D37" i="71"/>
  <c r="AH36" i="71"/>
  <c r="AG36" i="71"/>
  <c r="AE36" i="71"/>
  <c r="AF36" i="71" s="1"/>
  <c r="AD36" i="71"/>
  <c r="Q36" i="71"/>
  <c r="P36" i="71"/>
  <c r="AA36" i="71" s="1"/>
  <c r="O36" i="71"/>
  <c r="N36" i="71"/>
  <c r="X30" i="71" s="1"/>
  <c r="AH35" i="71"/>
  <c r="AG35" i="71"/>
  <c r="AE35" i="71"/>
  <c r="AF35" i="71"/>
  <c r="AD35" i="71"/>
  <c r="Q35" i="71"/>
  <c r="P35" i="71"/>
  <c r="AA35" i="71" s="1"/>
  <c r="O35" i="71"/>
  <c r="Y34" i="71" s="1"/>
  <c r="Z34" i="71" s="1"/>
  <c r="N35" i="71"/>
  <c r="AH34" i="71"/>
  <c r="AG34" i="71"/>
  <c r="AE34" i="71"/>
  <c r="AF34" i="71" s="1"/>
  <c r="AD34" i="71"/>
  <c r="Q34" i="71"/>
  <c r="AB24" i="71" s="1"/>
  <c r="P34" i="71"/>
  <c r="O34" i="71"/>
  <c r="N34" i="71"/>
  <c r="AH33" i="71"/>
  <c r="AG33" i="71"/>
  <c r="AE33" i="71"/>
  <c r="AF33" i="71" s="1"/>
  <c r="AD33" i="71"/>
  <c r="Q33" i="71"/>
  <c r="F34" i="71" s="1"/>
  <c r="F35" i="71" s="1"/>
  <c r="F36" i="71" s="1"/>
  <c r="V36" i="71" s="1"/>
  <c r="P33" i="71"/>
  <c r="E34" i="71" s="1"/>
  <c r="E35" i="71" s="1"/>
  <c r="O33" i="71"/>
  <c r="Y31" i="71" s="1"/>
  <c r="Z31" i="71" s="1"/>
  <c r="N33" i="71"/>
  <c r="B34" i="71"/>
  <c r="B35" i="71"/>
  <c r="B36" i="71" s="1"/>
  <c r="S36"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Y29" i="71"/>
  <c r="Z29" i="71" s="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P25" i="71"/>
  <c r="O25" i="71"/>
  <c r="N25" i="71"/>
  <c r="D25" i="71"/>
  <c r="AH24" i="71"/>
  <c r="AG24" i="71"/>
  <c r="AE24" i="71"/>
  <c r="AF24" i="71"/>
  <c r="AD24" i="71"/>
  <c r="Q24" i="71"/>
  <c r="F24" i="71" s="1"/>
  <c r="F23" i="71" s="1"/>
  <c r="F22" i="71" s="1"/>
  <c r="F21" i="71" s="1"/>
  <c r="F20" i="71" s="1"/>
  <c r="F19" i="71" s="1"/>
  <c r="F18" i="71" s="1"/>
  <c r="F17" i="71" s="1"/>
  <c r="F16" i="71" s="1"/>
  <c r="F15" i="71" s="1"/>
  <c r="F14" i="71" s="1"/>
  <c r="F13" i="71" s="1"/>
  <c r="F12" i="71" s="1"/>
  <c r="F11" i="71" s="1"/>
  <c r="F10" i="71" s="1"/>
  <c r="F9" i="71" s="1"/>
  <c r="F8" i="71" s="1"/>
  <c r="F7" i="71" s="1"/>
  <c r="F6" i="71" s="1"/>
  <c r="F5" i="71" s="1"/>
  <c r="P24" i="71"/>
  <c r="E24" i="71" s="1"/>
  <c r="O24" i="71"/>
  <c r="C24" i="71" s="1"/>
  <c r="N24" i="71"/>
  <c r="B24" i="71"/>
  <c r="B23" i="71" s="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X18" i="71" s="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X10" i="71" s="1"/>
  <c r="AH16" i="71"/>
  <c r="AG16" i="71"/>
  <c r="AE16" i="71"/>
  <c r="AF16" i="71" s="1"/>
  <c r="AD16" i="71"/>
  <c r="Q16" i="71"/>
  <c r="P16" i="71"/>
  <c r="O16" i="71"/>
  <c r="N16" i="71"/>
  <c r="X15" i="71" s="1"/>
  <c r="AH15" i="71"/>
  <c r="AG15" i="71"/>
  <c r="AE15" i="71"/>
  <c r="AF15" i="71" s="1"/>
  <c r="AD15" i="71"/>
  <c r="Q15" i="71"/>
  <c r="P15" i="71"/>
  <c r="O15" i="71"/>
  <c r="N15" i="71"/>
  <c r="AH14" i="71"/>
  <c r="AG14" i="71"/>
  <c r="AF14" i="71"/>
  <c r="AE14" i="71"/>
  <c r="AD14" i="71"/>
  <c r="Q14" i="71"/>
  <c r="P14" i="71"/>
  <c r="AA14" i="71" s="1"/>
  <c r="O14" i="71"/>
  <c r="Y14" i="71" s="1"/>
  <c r="Z14" i="71" s="1"/>
  <c r="N14" i="71"/>
  <c r="X13" i="71" s="1"/>
  <c r="AH13" i="71"/>
  <c r="AG13" i="71"/>
  <c r="AE13" i="71"/>
  <c r="AF13" i="71"/>
  <c r="AD13" i="71"/>
  <c r="Q13" i="71"/>
  <c r="P13" i="71"/>
  <c r="O13" i="71"/>
  <c r="N13" i="71"/>
  <c r="AH12" i="71"/>
  <c r="AG12" i="71"/>
  <c r="AE12" i="71"/>
  <c r="AF12" i="71"/>
  <c r="AD12" i="71"/>
  <c r="Q12" i="71"/>
  <c r="P12" i="71"/>
  <c r="O12" i="71"/>
  <c r="N12" i="71"/>
  <c r="AH11" i="71"/>
  <c r="AG11" i="71"/>
  <c r="AE11" i="71"/>
  <c r="AF11" i="71" s="1"/>
  <c r="AD11" i="71"/>
  <c r="Q11" i="71"/>
  <c r="P11" i="71"/>
  <c r="AA3" i="71" s="1"/>
  <c r="O11" i="71"/>
  <c r="N11" i="71"/>
  <c r="X11" i="71"/>
  <c r="AH10" i="71"/>
  <c r="AG10" i="71"/>
  <c r="AE10" i="71"/>
  <c r="AF10" i="71" s="1"/>
  <c r="AD10" i="71"/>
  <c r="Q10" i="71"/>
  <c r="P10" i="71"/>
  <c r="O10" i="71"/>
  <c r="Y10" i="71" s="1"/>
  <c r="Z10" i="71" s="1"/>
  <c r="N10" i="71"/>
  <c r="AH9" i="71"/>
  <c r="AG9" i="71"/>
  <c r="AE9" i="71"/>
  <c r="AF9" i="71" s="1"/>
  <c r="AD9" i="71"/>
  <c r="Q9" i="71"/>
  <c r="P9" i="71"/>
  <c r="O9" i="71"/>
  <c r="Y9" i="71" s="1"/>
  <c r="Z9" i="71" s="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Y5" i="71"/>
  <c r="Z5" i="71" s="1"/>
  <c r="X5" i="71"/>
  <c r="Q5" i="71"/>
  <c r="P5" i="71"/>
  <c r="O5" i="71"/>
  <c r="N5" i="71"/>
  <c r="X3" i="71" s="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B49" i="79"/>
  <c r="AA49" i="79"/>
  <c r="Z49" i="79"/>
  <c r="N49" i="79"/>
  <c r="M49" i="79"/>
  <c r="P49" i="79" s="1"/>
  <c r="L49" i="79"/>
  <c r="I49" i="79"/>
  <c r="AD49" i="79" s="1"/>
  <c r="AB48" i="79"/>
  <c r="AA48" i="79"/>
  <c r="Z48" i="79"/>
  <c r="P48" i="79"/>
  <c r="N48" i="79"/>
  <c r="M48" i="79"/>
  <c r="L48" i="79"/>
  <c r="I48" i="79"/>
  <c r="AB47" i="79"/>
  <c r="AA47" i="79"/>
  <c r="Z47" i="79"/>
  <c r="N47" i="79"/>
  <c r="U44" i="79" s="1"/>
  <c r="AI44" i="79" s="1"/>
  <c r="M47" i="79"/>
  <c r="P47" i="79"/>
  <c r="L47" i="79"/>
  <c r="I47" i="79"/>
  <c r="AB46" i="79"/>
  <c r="AA46" i="79"/>
  <c r="Z46" i="79"/>
  <c r="N46" i="79"/>
  <c r="M46" i="79"/>
  <c r="T46" i="79" s="1"/>
  <c r="L46" i="79"/>
  <c r="S45" i="79" s="1"/>
  <c r="AG45" i="79" s="1"/>
  <c r="I46" i="79"/>
  <c r="AB45" i="79"/>
  <c r="AA45" i="79"/>
  <c r="Z45" i="79"/>
  <c r="N45" i="79"/>
  <c r="M45" i="79"/>
  <c r="T45" i="79" s="1"/>
  <c r="W45" i="79" s="1"/>
  <c r="AK45" i="79" s="1"/>
  <c r="P45" i="79"/>
  <c r="L45" i="79"/>
  <c r="I45" i="79"/>
  <c r="N44" i="79"/>
  <c r="M44" i="79"/>
  <c r="L44" i="79"/>
  <c r="I44" i="79"/>
  <c r="P43" i="79"/>
  <c r="N43" i="79"/>
  <c r="U43" i="79" s="1"/>
  <c r="AI43" i="79" s="1"/>
  <c r="M43" i="79"/>
  <c r="T40" i="79" s="1"/>
  <c r="L43" i="79"/>
  <c r="S43" i="79" s="1"/>
  <c r="AG43" i="79" s="1"/>
  <c r="I43" i="79"/>
  <c r="P42" i="79"/>
  <c r="N42" i="79"/>
  <c r="M42" i="79"/>
  <c r="L42" i="79"/>
  <c r="I42" i="79"/>
  <c r="N41" i="79"/>
  <c r="M41" i="79"/>
  <c r="L41" i="79"/>
  <c r="S41" i="79" s="1"/>
  <c r="AG41" i="79" s="1"/>
  <c r="I41" i="79"/>
  <c r="N40" i="79"/>
  <c r="M40" i="79"/>
  <c r="P40" i="79"/>
  <c r="L40" i="79"/>
  <c r="I40" i="79"/>
  <c r="AD39" i="79" s="1"/>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S34" i="79" s="1"/>
  <c r="AG34" i="79" s="1"/>
  <c r="I37" i="79"/>
  <c r="AB36" i="79"/>
  <c r="AA36" i="79"/>
  <c r="Z36" i="79"/>
  <c r="N36" i="79"/>
  <c r="M36" i="79"/>
  <c r="P36" i="79"/>
  <c r="L36" i="79"/>
  <c r="I36" i="79"/>
  <c r="AD36" i="79"/>
  <c r="AB35" i="79"/>
  <c r="AA35" i="79"/>
  <c r="Z35" i="79"/>
  <c r="N35" i="79"/>
  <c r="U33" i="79" s="1"/>
  <c r="AI33" i="79" s="1"/>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AA31" i="79"/>
  <c r="AD31" i="79" s="1"/>
  <c r="Z33" i="79"/>
  <c r="N33" i="79"/>
  <c r="M33" i="79"/>
  <c r="P33" i="79"/>
  <c r="L33" i="79"/>
  <c r="I33" i="79"/>
  <c r="AR34" i="79" s="1"/>
  <c r="AD33" i="79"/>
  <c r="AB31" i="79"/>
  <c r="G31" i="79"/>
  <c r="F31" i="79"/>
  <c r="I31" i="79" s="1"/>
  <c r="E31" i="79"/>
  <c r="AC24" i="79"/>
  <c r="AB24" i="79"/>
  <c r="AA24" i="79"/>
  <c r="AD24" i="79" s="1"/>
  <c r="Z24" i="79"/>
  <c r="Y24" i="79"/>
  <c r="W24" i="79"/>
  <c r="P24" i="79"/>
  <c r="O24" i="79"/>
  <c r="N24" i="79"/>
  <c r="M24" i="79"/>
  <c r="L24" i="79"/>
  <c r="K24" i="79"/>
  <c r="I24" i="79"/>
  <c r="AC23" i="79"/>
  <c r="AB23" i="79"/>
  <c r="AA23" i="79"/>
  <c r="AD23" i="79"/>
  <c r="Z23" i="79"/>
  <c r="Y23" i="79"/>
  <c r="T23" i="79"/>
  <c r="W23" i="79" s="1"/>
  <c r="AK23" i="79" s="1"/>
  <c r="O23" i="79"/>
  <c r="N23" i="79"/>
  <c r="U23" i="79" s="1"/>
  <c r="AI23" i="79" s="1"/>
  <c r="M23" i="79"/>
  <c r="P23" i="79"/>
  <c r="L23" i="79"/>
  <c r="S23" i="79" s="1"/>
  <c r="AG23" i="79" s="1"/>
  <c r="K23" i="79"/>
  <c r="I23" i="79"/>
  <c r="AC22" i="79"/>
  <c r="AB22" i="79"/>
  <c r="AA22" i="79"/>
  <c r="AD22" i="79"/>
  <c r="Z22" i="79"/>
  <c r="Y22" i="79"/>
  <c r="R22" i="79"/>
  <c r="AF22" i="79" s="1"/>
  <c r="O22" i="79"/>
  <c r="N22" i="79"/>
  <c r="U22" i="79"/>
  <c r="AI22" i="79" s="1"/>
  <c r="M22" i="79"/>
  <c r="L22" i="79"/>
  <c r="S22" i="79" s="1"/>
  <c r="AG22" i="79" s="1"/>
  <c r="K22" i="79"/>
  <c r="I22" i="79"/>
  <c r="AC21" i="79"/>
  <c r="AB21" i="79"/>
  <c r="AA21" i="79"/>
  <c r="AD21" i="79" s="1"/>
  <c r="Z21" i="79"/>
  <c r="Y21" i="79"/>
  <c r="U21" i="79"/>
  <c r="AI21" i="79" s="1"/>
  <c r="O21" i="79"/>
  <c r="N21" i="79"/>
  <c r="M21" i="79"/>
  <c r="P21" i="79" s="1"/>
  <c r="L21" i="79"/>
  <c r="K21" i="79"/>
  <c r="I21" i="79"/>
  <c r="AC20" i="79"/>
  <c r="AB20" i="79"/>
  <c r="AA20" i="79"/>
  <c r="AD20" i="79" s="1"/>
  <c r="Z20" i="79"/>
  <c r="Y20" i="79"/>
  <c r="T20" i="79"/>
  <c r="W20" i="79" s="1"/>
  <c r="AK20" i="79" s="1"/>
  <c r="S20" i="79"/>
  <c r="AG20" i="79" s="1"/>
  <c r="P20" i="79"/>
  <c r="O20" i="79"/>
  <c r="N20" i="79"/>
  <c r="U20" i="79" s="1"/>
  <c r="AI20" i="79" s="1"/>
  <c r="M20" i="79"/>
  <c r="L20" i="79"/>
  <c r="K20" i="79"/>
  <c r="I20" i="79"/>
  <c r="AC19" i="79"/>
  <c r="AC3" i="79" s="1"/>
  <c r="AB19" i="79"/>
  <c r="AA19" i="79"/>
  <c r="AD19" i="79" s="1"/>
  <c r="Z19" i="79"/>
  <c r="Y19" i="79"/>
  <c r="O19" i="79"/>
  <c r="V18" i="79"/>
  <c r="AJ18" i="79" s="1"/>
  <c r="N19" i="79"/>
  <c r="M19" i="79"/>
  <c r="T19" i="79" s="1"/>
  <c r="P19" i="79"/>
  <c r="L19" i="79"/>
  <c r="K19" i="79"/>
  <c r="R19" i="79" s="1"/>
  <c r="AF19" i="79" s="1"/>
  <c r="I19" i="79"/>
  <c r="AC18" i="79"/>
  <c r="AB18" i="79"/>
  <c r="AB3" i="79" s="1"/>
  <c r="AA18" i="79"/>
  <c r="AD18" i="79" s="1"/>
  <c r="Z18" i="79"/>
  <c r="Y18" i="79"/>
  <c r="S18" i="79"/>
  <c r="AG18" i="79" s="1"/>
  <c r="R18" i="79"/>
  <c r="AF18" i="79" s="1"/>
  <c r="O18" i="79"/>
  <c r="N18" i="79"/>
  <c r="M18" i="79"/>
  <c r="L18" i="79"/>
  <c r="K18" i="79"/>
  <c r="I18" i="79"/>
  <c r="AC17" i="79"/>
  <c r="AB17" i="79"/>
  <c r="AA17" i="79"/>
  <c r="AD17" i="79"/>
  <c r="Z17" i="79"/>
  <c r="Y17" i="79"/>
  <c r="O17" i="79"/>
  <c r="N17" i="79"/>
  <c r="M17" i="79"/>
  <c r="P17" i="79" s="1"/>
  <c r="L17" i="79"/>
  <c r="S17" i="79" s="1"/>
  <c r="AG17" i="79" s="1"/>
  <c r="K17" i="79"/>
  <c r="I17" i="79"/>
  <c r="V16" i="79"/>
  <c r="AJ16" i="79" s="1"/>
  <c r="O16" i="79"/>
  <c r="N16" i="79"/>
  <c r="M16" i="79"/>
  <c r="P16" i="79" s="1"/>
  <c r="L16" i="79"/>
  <c r="K16" i="79"/>
  <c r="I16" i="79"/>
  <c r="O15" i="79"/>
  <c r="N15" i="79"/>
  <c r="M15" i="79"/>
  <c r="P15" i="79"/>
  <c r="L15" i="79"/>
  <c r="K15" i="79"/>
  <c r="I15" i="79"/>
  <c r="O14" i="79"/>
  <c r="N14" i="79"/>
  <c r="M14" i="79"/>
  <c r="P14" i="79" s="1"/>
  <c r="L14" i="79"/>
  <c r="K14" i="79"/>
  <c r="I14" i="79"/>
  <c r="P13" i="79"/>
  <c r="O13" i="79"/>
  <c r="N13" i="79"/>
  <c r="M13" i="79"/>
  <c r="T13" i="79"/>
  <c r="L13" i="79"/>
  <c r="K13" i="79"/>
  <c r="I13" i="79"/>
  <c r="O12" i="79"/>
  <c r="N12" i="79"/>
  <c r="M12" i="79"/>
  <c r="L12" i="79"/>
  <c r="K12" i="79"/>
  <c r="I12" i="79"/>
  <c r="AC11" i="79"/>
  <c r="AB11" i="79"/>
  <c r="AA11" i="79"/>
  <c r="AD11" i="79" s="1"/>
  <c r="Z11" i="79"/>
  <c r="Z3" i="79"/>
  <c r="Y11" i="79"/>
  <c r="P11" i="79"/>
  <c r="O11" i="79"/>
  <c r="N11" i="79"/>
  <c r="M11" i="79"/>
  <c r="L11" i="79"/>
  <c r="K11" i="79"/>
  <c r="I11" i="79"/>
  <c r="AC10" i="79"/>
  <c r="AB10" i="79"/>
  <c r="AA10" i="79"/>
  <c r="AD10" i="79" s="1"/>
  <c r="Z10" i="79"/>
  <c r="Y10" i="79"/>
  <c r="O10" i="79"/>
  <c r="N10" i="79"/>
  <c r="M10" i="79"/>
  <c r="P10" i="79" s="1"/>
  <c r="L10" i="79"/>
  <c r="K10" i="79"/>
  <c r="I10" i="79"/>
  <c r="AP11" i="79"/>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P9" i="79" s="1"/>
  <c r="L9" i="79"/>
  <c r="K9" i="79"/>
  <c r="I9" i="79"/>
  <c r="AO14" i="79"/>
  <c r="AO15" i="79" s="1"/>
  <c r="AO16" i="79" s="1"/>
  <c r="AO17" i="79" s="1"/>
  <c r="AO18" i="79" s="1"/>
  <c r="AO19" i="79" s="1"/>
  <c r="AO20" i="79" s="1"/>
  <c r="AO21" i="79" s="1"/>
  <c r="AO22" i="79" s="1"/>
  <c r="AO23" i="79" s="1"/>
  <c r="AO24" i="79" s="1"/>
  <c r="AC8" i="79"/>
  <c r="AB8" i="79"/>
  <c r="AA8" i="79"/>
  <c r="AD8" i="79" s="1"/>
  <c r="Z8" i="79"/>
  <c r="Y8" i="79"/>
  <c r="O8" i="79"/>
  <c r="N8" i="79"/>
  <c r="M8" i="79"/>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N12" i="79"/>
  <c r="AN13" i="79" s="1"/>
  <c r="AN14" i="79" s="1"/>
  <c r="AN15" i="79" s="1"/>
  <c r="AN16" i="79" s="1"/>
  <c r="AN17" i="79" s="1"/>
  <c r="AN18" i="79" s="1"/>
  <c r="AN19" i="79" s="1"/>
  <c r="AN20" i="79" s="1"/>
  <c r="AN21" i="79" s="1"/>
  <c r="AN22" i="79" s="1"/>
  <c r="AN23" i="79" s="1"/>
  <c r="AN24" i="79"/>
  <c r="AD7" i="79"/>
  <c r="AC7" i="79"/>
  <c r="AB7" i="79"/>
  <c r="AA7" i="79"/>
  <c r="Z7" i="79"/>
  <c r="Y7" i="79"/>
  <c r="O7" i="79"/>
  <c r="N7" i="79"/>
  <c r="M7" i="79"/>
  <c r="L7" i="79"/>
  <c r="S7" i="79" s="1"/>
  <c r="AG7" i="79" s="1"/>
  <c r="K7" i="79"/>
  <c r="I7" i="79"/>
  <c r="AR6" i="79"/>
  <c r="AQ6" i="79"/>
  <c r="AQ7" i="79" s="1"/>
  <c r="AQ8" i="79" s="1"/>
  <c r="AQ9" i="79" s="1"/>
  <c r="AQ10" i="79"/>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O6" i="79"/>
  <c r="AO7" i="79" s="1"/>
  <c r="AO8" i="79" s="1"/>
  <c r="AO9" i="79" s="1"/>
  <c r="AO10" i="79" s="1"/>
  <c r="AO11" i="79" s="1"/>
  <c r="AO12" i="79" s="1"/>
  <c r="AO13" i="79" s="1"/>
  <c r="AN6" i="79"/>
  <c r="AN7" i="79" s="1"/>
  <c r="AN8" i="79" s="1"/>
  <c r="AN9" i="79" s="1"/>
  <c r="AN10" i="79" s="1"/>
  <c r="AN11"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S6" i="79" s="1"/>
  <c r="AG6" i="79" s="1"/>
  <c r="K6" i="79"/>
  <c r="I6" i="79"/>
  <c r="AC5" i="79"/>
  <c r="AB5" i="79"/>
  <c r="AA5" i="79"/>
  <c r="AD5" i="79" s="1"/>
  <c r="Z5" i="79"/>
  <c r="Y5" i="79"/>
  <c r="U5" i="79"/>
  <c r="AI5" i="79" s="1"/>
  <c r="P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E21" i="43" s="1"/>
  <c r="F116" i="43"/>
  <c r="N111" i="43"/>
  <c r="N112" i="43"/>
  <c r="M111" i="43"/>
  <c r="M112" i="43" s="1"/>
  <c r="L111" i="43"/>
  <c r="L112" i="43" s="1"/>
  <c r="K111" i="43"/>
  <c r="K112" i="43" s="1"/>
  <c r="J111" i="43"/>
  <c r="J112" i="43" s="1"/>
  <c r="I111" i="43"/>
  <c r="I112" i="43" s="1"/>
  <c r="H111" i="43"/>
  <c r="H112" i="43"/>
  <c r="G111" i="43"/>
  <c r="G112" i="43" s="1"/>
  <c r="F111" i="43"/>
  <c r="F112" i="43"/>
  <c r="E111" i="43"/>
  <c r="E112" i="43" s="1"/>
  <c r="D111" i="43"/>
  <c r="D112" i="43" s="1"/>
  <c r="C111" i="43"/>
  <c r="C112" i="43" s="1"/>
  <c r="M101" i="43"/>
  <c r="N101" i="43" s="1"/>
  <c r="K101" i="43"/>
  <c r="J101" i="43"/>
  <c r="D101" i="43"/>
  <c r="M100" i="43"/>
  <c r="N100" i="43" s="1"/>
  <c r="K100" i="43"/>
  <c r="J100" i="43"/>
  <c r="D100" i="43"/>
  <c r="M99" i="43"/>
  <c r="N99" i="43" s="1"/>
  <c r="K99" i="43"/>
  <c r="J99" i="43" s="1"/>
  <c r="D99" i="43"/>
  <c r="M98" i="43"/>
  <c r="N98" i="43"/>
  <c r="K98" i="43"/>
  <c r="J98" i="43" s="1"/>
  <c r="D98" i="43"/>
  <c r="M97" i="43"/>
  <c r="N97" i="43" s="1"/>
  <c r="K97" i="43"/>
  <c r="J97" i="43" s="1"/>
  <c r="D97" i="43"/>
  <c r="M96" i="43"/>
  <c r="N96" i="43" s="1"/>
  <c r="K96" i="43"/>
  <c r="J96" i="43"/>
  <c r="D96" i="43"/>
  <c r="M95" i="43"/>
  <c r="N95" i="43"/>
  <c r="K95" i="43"/>
  <c r="J95" i="43" s="1"/>
  <c r="D95" i="43"/>
  <c r="B95" i="43"/>
  <c r="M94" i="43"/>
  <c r="N94" i="43" s="1"/>
  <c r="K94" i="43"/>
  <c r="J94" i="43"/>
  <c r="D94" i="43"/>
  <c r="M93" i="43"/>
  <c r="N93" i="43" s="1"/>
  <c r="K93" i="43"/>
  <c r="J93" i="43"/>
  <c r="F93" i="43"/>
  <c r="H98" i="43" s="1"/>
  <c r="D93" i="43"/>
  <c r="M90" i="43"/>
  <c r="N90" i="43"/>
  <c r="K90" i="43"/>
  <c r="J90" i="43"/>
  <c r="D90" i="43"/>
  <c r="M89" i="43"/>
  <c r="N89" i="43" s="1"/>
  <c r="K89" i="43"/>
  <c r="J89" i="43"/>
  <c r="D89" i="43"/>
  <c r="N88" i="43"/>
  <c r="M88" i="43"/>
  <c r="K88" i="43"/>
  <c r="J88" i="43"/>
  <c r="D88" i="43"/>
  <c r="M87" i="43"/>
  <c r="N87" i="43"/>
  <c r="K87" i="43"/>
  <c r="J87" i="43" s="1"/>
  <c r="D87" i="43"/>
  <c r="M86" i="43"/>
  <c r="N86" i="43" s="1"/>
  <c r="K86" i="43"/>
  <c r="J86" i="43" s="1"/>
  <c r="D86" i="43"/>
  <c r="B86" i="43"/>
  <c r="M85" i="43"/>
  <c r="N85" i="43"/>
  <c r="K85" i="43"/>
  <c r="J85" i="43"/>
  <c r="D85" i="43"/>
  <c r="B85" i="43"/>
  <c r="M84" i="43"/>
  <c r="N84" i="43" s="1"/>
  <c r="K84" i="43"/>
  <c r="J84" i="43" s="1"/>
  <c r="D84" i="43"/>
  <c r="M83" i="43"/>
  <c r="N83" i="43" s="1"/>
  <c r="K83" i="43"/>
  <c r="J83" i="43"/>
  <c r="F83" i="43"/>
  <c r="H85" i="43" s="1"/>
  <c r="D83" i="43"/>
  <c r="M80" i="43"/>
  <c r="N80" i="43"/>
  <c r="K80" i="43"/>
  <c r="J80" i="43" s="1"/>
  <c r="D80" i="43"/>
  <c r="M79" i="43"/>
  <c r="N79" i="43" s="1"/>
  <c r="K79" i="43"/>
  <c r="J79" i="43"/>
  <c r="D79"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B74" i="43"/>
  <c r="M73" i="43"/>
  <c r="N73" i="43" s="1"/>
  <c r="K73" i="43"/>
  <c r="J73" i="43" s="1"/>
  <c r="D73" i="43"/>
  <c r="M72" i="43"/>
  <c r="N72" i="43" s="1"/>
  <c r="K72" i="43"/>
  <c r="J72" i="43"/>
  <c r="F72" i="43"/>
  <c r="H80" i="43" s="1"/>
  <c r="D72" i="43"/>
  <c r="E72" i="43" s="1"/>
  <c r="B70" i="43" s="1"/>
  <c r="B63" i="43"/>
  <c r="B52" i="43"/>
  <c r="B50" i="43"/>
  <c r="H42" i="43"/>
  <c r="H41" i="43"/>
  <c r="H40" i="43"/>
  <c r="H39" i="43"/>
  <c r="H38" i="43"/>
  <c r="H37" i="43"/>
  <c r="E24" i="43"/>
  <c r="I23" i="43"/>
  <c r="G17" i="43"/>
  <c r="C13" i="43"/>
  <c r="AE10" i="43"/>
  <c r="Y10" i="43"/>
  <c r="C10" i="43"/>
  <c r="C11" i="43" s="1"/>
  <c r="AJ9" i="43"/>
  <c r="AJ10" i="43" s="1"/>
  <c r="AI9" i="43"/>
  <c r="AI10" i="43" s="1"/>
  <c r="AH9" i="43"/>
  <c r="AH10" i="43" s="1"/>
  <c r="AG9" i="43"/>
  <c r="AG10" i="43"/>
  <c r="AF9" i="43"/>
  <c r="AF10" i="43" s="1"/>
  <c r="AE9" i="43"/>
  <c r="AD9" i="43"/>
  <c r="AD10" i="43" s="1"/>
  <c r="AC9" i="43"/>
  <c r="AC10" i="43" s="1"/>
  <c r="AB9" i="43"/>
  <c r="AB10" i="43" s="1"/>
  <c r="AA9" i="43"/>
  <c r="AA10" i="43" s="1"/>
  <c r="Z9" i="43"/>
  <c r="Z10" i="43" s="1"/>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c r="Q143" i="31"/>
  <c r="O143" i="31"/>
  <c r="M143" i="31"/>
  <c r="K143" i="31"/>
  <c r="I143" i="31"/>
  <c r="G143" i="31"/>
  <c r="E143" i="31"/>
  <c r="C143" i="31"/>
  <c r="R142" i="31"/>
  <c r="S142" i="31" s="1"/>
  <c r="Q142" i="31"/>
  <c r="O142" i="31"/>
  <c r="M142" i="31"/>
  <c r="K142" i="31"/>
  <c r="I142" i="31"/>
  <c r="G142" i="31"/>
  <c r="E142" i="31"/>
  <c r="C142" i="31"/>
  <c r="R141" i="31"/>
  <c r="S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c r="Q95" i="31"/>
  <c r="O95" i="31"/>
  <c r="M95" i="31"/>
  <c r="K95" i="31"/>
  <c r="I95" i="31"/>
  <c r="G95" i="31"/>
  <c r="E95" i="31"/>
  <c r="C95" i="31"/>
  <c r="R94" i="31"/>
  <c r="S94" i="31" s="1"/>
  <c r="Q94" i="31"/>
  <c r="O94" i="31"/>
  <c r="M94" i="31"/>
  <c r="K94" i="31"/>
  <c r="I94" i="31"/>
  <c r="G94" i="31"/>
  <c r="E94" i="31"/>
  <c r="C94" i="31"/>
  <c r="R93" i="31"/>
  <c r="S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c r="Q47" i="31"/>
  <c r="O47" i="31"/>
  <c r="M47" i="31"/>
  <c r="K47" i="31"/>
  <c r="I47" i="31"/>
  <c r="G47" i="31"/>
  <c r="E47" i="31"/>
  <c r="C47" i="31"/>
  <c r="R46" i="31"/>
  <c r="S46" i="31" s="1"/>
  <c r="Q46" i="31"/>
  <c r="O46" i="31"/>
  <c r="M46" i="31"/>
  <c r="K46" i="31"/>
  <c r="I46" i="31"/>
  <c r="G46" i="31"/>
  <c r="E46" i="31"/>
  <c r="C46" i="31"/>
  <c r="R45" i="31"/>
  <c r="S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J1" i="73"/>
  <c r="AP6" i="1"/>
  <c r="AP7" i="1"/>
  <c r="AP8" i="1"/>
  <c r="AP9" i="1"/>
  <c r="AP10" i="1"/>
  <c r="AP11" i="1"/>
  <c r="AP12" i="1"/>
  <c r="AP13" i="1"/>
  <c r="G1" i="67"/>
  <c r="B43" i="1"/>
  <c r="B41" i="1"/>
  <c r="F32" i="67"/>
  <c r="C42" i="1"/>
  <c r="H13" i="3"/>
  <c r="L19" i="6"/>
  <c r="B52" i="1"/>
  <c r="F34" i="67" s="1"/>
  <c r="F28" i="67"/>
  <c r="C28" i="67" s="1"/>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M12" i="31"/>
  <c r="N12" i="31" s="1"/>
  <c r="O12" i="31" s="1"/>
  <c r="P12" i="31" s="1"/>
  <c r="Q12" i="31" s="1"/>
  <c r="R12" i="31" s="1"/>
  <c r="S12" i="31" s="1"/>
  <c r="G12" i="31"/>
  <c r="H12" i="31" s="1"/>
  <c r="I12" i="31" s="1"/>
  <c r="J12" i="31" s="1"/>
  <c r="K12" i="31" s="1"/>
  <c r="L12" i="31" s="1"/>
  <c r="E12" i="31"/>
  <c r="F12" i="31" s="1"/>
  <c r="D12" i="31"/>
  <c r="H10" i="31"/>
  <c r="I10" i="31" s="1"/>
  <c r="J10" i="31" s="1"/>
  <c r="K10" i="31" s="1"/>
  <c r="L10" i="31" s="1"/>
  <c r="M10" i="31" s="1"/>
  <c r="N10" i="31" s="1"/>
  <c r="O10" i="31" s="1"/>
  <c r="P10" i="31" s="1"/>
  <c r="Q10" i="31" s="1"/>
  <c r="R10" i="31" s="1"/>
  <c r="S10" i="31" s="1"/>
  <c r="D10" i="31"/>
  <c r="E10" i="31" s="1"/>
  <c r="F10" i="31"/>
  <c r="G10" i="31"/>
  <c r="L8" i="31"/>
  <c r="M8" i="31" s="1"/>
  <c r="N8" i="31" s="1"/>
  <c r="O8" i="31" s="1"/>
  <c r="P8" i="31"/>
  <c r="Q8" i="31" s="1"/>
  <c r="R8" i="31" s="1"/>
  <c r="S8" i="31" s="1"/>
  <c r="D8" i="31"/>
  <c r="E8" i="31"/>
  <c r="F8" i="31" s="1"/>
  <c r="G8" i="31" s="1"/>
  <c r="H8" i="31" s="1"/>
  <c r="I8" i="31" s="1"/>
  <c r="J8" i="31" s="1"/>
  <c r="K8" i="31" s="1"/>
  <c r="D6" i="31"/>
  <c r="E6" i="31"/>
  <c r="F6" i="31"/>
  <c r="G6" i="31"/>
  <c r="H6" i="31" s="1"/>
  <c r="I6" i="31" s="1"/>
  <c r="J6" i="31" s="1"/>
  <c r="K6" i="31" s="1"/>
  <c r="L6" i="31" s="1"/>
  <c r="M6" i="31" s="1"/>
  <c r="N6" i="31" s="1"/>
  <c r="O6" i="31" s="1"/>
  <c r="P6" i="31" s="1"/>
  <c r="Q6" i="31" s="1"/>
  <c r="R6" i="31"/>
  <c r="S6" i="31" s="1"/>
  <c r="S2" i="31"/>
  <c r="R2" i="31"/>
  <c r="Q2" i="31"/>
  <c r="P2" i="31"/>
  <c r="O2" i="31"/>
  <c r="N2" i="31"/>
  <c r="M2" i="31"/>
  <c r="L2" i="31"/>
  <c r="K2" i="31"/>
  <c r="J2" i="31"/>
  <c r="I2" i="31"/>
  <c r="H2" i="31"/>
  <c r="G2" i="31"/>
  <c r="F2" i="31"/>
  <c r="E2" i="31"/>
  <c r="D2" i="31"/>
  <c r="C2" i="31"/>
  <c r="B120" i="40"/>
  <c r="J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c r="M107" i="40"/>
  <c r="L107" i="40"/>
  <c r="K107" i="40"/>
  <c r="J107" i="40"/>
  <c r="I107" i="40"/>
  <c r="H107" i="40"/>
  <c r="G107" i="40"/>
  <c r="F107" i="40"/>
  <c r="E107" i="40"/>
  <c r="D107" i="40"/>
  <c r="C107" i="40"/>
  <c r="B105" i="40"/>
  <c r="B103" i="40"/>
  <c r="H32" i="40" s="1"/>
  <c r="B101" i="40"/>
  <c r="J31" i="40"/>
  <c r="I100" i="40"/>
  <c r="J100" i="40" s="1"/>
  <c r="K100" i="40" s="1"/>
  <c r="L100" i="40" s="1"/>
  <c r="M100" i="40" s="1"/>
  <c r="D100" i="40"/>
  <c r="E100" i="40" s="1"/>
  <c r="F100" i="40" s="1"/>
  <c r="G100" i="40" s="1"/>
  <c r="H100" i="40" s="1"/>
  <c r="D98" i="40"/>
  <c r="E98" i="40"/>
  <c r="F98" i="40"/>
  <c r="G98" i="40" s="1"/>
  <c r="H98" i="40" s="1"/>
  <c r="I98" i="40" s="1"/>
  <c r="J98" i="40" s="1"/>
  <c r="K98" i="40" s="1"/>
  <c r="L98" i="40" s="1"/>
  <c r="M98" i="40" s="1"/>
  <c r="D96" i="40"/>
  <c r="E96" i="40" s="1"/>
  <c r="F96" i="40" s="1"/>
  <c r="G96" i="40" s="1"/>
  <c r="H96" i="40" s="1"/>
  <c r="I96" i="40" s="1"/>
  <c r="J96" i="40" s="1"/>
  <c r="K96" i="40" s="1"/>
  <c r="L96" i="40" s="1"/>
  <c r="M96" i="40" s="1"/>
  <c r="B95" i="40"/>
  <c r="F94" i="40"/>
  <c r="G94" i="40" s="1"/>
  <c r="D94" i="40"/>
  <c r="E94" i="40" s="1"/>
  <c r="D92" i="40"/>
  <c r="E92" i="40" s="1"/>
  <c r="F92" i="40" s="1"/>
  <c r="G92" i="40" s="1"/>
  <c r="E90" i="40"/>
  <c r="F90" i="40"/>
  <c r="G90" i="40" s="1"/>
  <c r="D90" i="40"/>
  <c r="D88" i="40"/>
  <c r="E88" i="40" s="1"/>
  <c r="F88" i="40" s="1"/>
  <c r="G88" i="40" s="1"/>
  <c r="D86" i="40"/>
  <c r="E86" i="40" s="1"/>
  <c r="F86" i="40" s="1"/>
  <c r="G86" i="40" s="1"/>
  <c r="D84" i="40"/>
  <c r="E84" i="40" s="1"/>
  <c r="F84" i="40" s="1"/>
  <c r="G84" i="40" s="1"/>
  <c r="B81" i="40"/>
  <c r="J14" i="40" s="1"/>
  <c r="F14" i="40"/>
  <c r="B79" i="40"/>
  <c r="J13" i="40" s="1"/>
  <c r="W13" i="40" s="1"/>
  <c r="B77" i="40"/>
  <c r="D76" i="40"/>
  <c r="E76" i="40" s="1"/>
  <c r="F76" i="40" s="1"/>
  <c r="G76" i="40"/>
  <c r="H76" i="40" s="1"/>
  <c r="I76" i="40"/>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c r="H54" i="40"/>
  <c r="I54" i="40" s="1"/>
  <c r="C54" i="40" s="1"/>
  <c r="H53" i="40"/>
  <c r="I53" i="40"/>
  <c r="C53" i="40" s="1"/>
  <c r="H52" i="40"/>
  <c r="I52" i="40" s="1"/>
  <c r="C52" i="40" s="1"/>
  <c r="I48" i="40"/>
  <c r="J48" i="40"/>
  <c r="G48" i="40"/>
  <c r="H48" i="40" s="1"/>
  <c r="E48" i="40"/>
  <c r="F48" i="40"/>
  <c r="P43" i="40"/>
  <c r="P42" i="40"/>
  <c r="K42" i="40"/>
  <c r="V41" i="40"/>
  <c r="T41" i="40"/>
  <c r="R41" i="40"/>
  <c r="P41" i="40"/>
  <c r="Q40" i="40"/>
  <c r="Z40" i="40" s="1"/>
  <c r="H40" i="40"/>
  <c r="F40" i="40"/>
  <c r="AA40" i="40" s="1"/>
  <c r="Q39" i="40"/>
  <c r="Z39" i="40"/>
  <c r="Z38" i="40"/>
  <c r="Q38" i="40"/>
  <c r="Q37" i="40"/>
  <c r="Z37" i="40" s="1"/>
  <c r="J37" i="40"/>
  <c r="H37" i="40"/>
  <c r="F37" i="40"/>
  <c r="AA37" i="40"/>
  <c r="AC36" i="40"/>
  <c r="Q36" i="40"/>
  <c r="Z36" i="40" s="1"/>
  <c r="J36" i="40"/>
  <c r="W36" i="40"/>
  <c r="H36" i="40"/>
  <c r="F36" i="40"/>
  <c r="AA36" i="40" s="1"/>
  <c r="AB35" i="40"/>
  <c r="Z35" i="40"/>
  <c r="Q35" i="40"/>
  <c r="J35" i="40"/>
  <c r="AC35" i="40"/>
  <c r="H35" i="40"/>
  <c r="U35" i="40" s="1"/>
  <c r="F35" i="40"/>
  <c r="AA35" i="40"/>
  <c r="Q34" i="40"/>
  <c r="Z34" i="40"/>
  <c r="J34" i="40"/>
  <c r="H34" i="40"/>
  <c r="AB34" i="40"/>
  <c r="F34" i="40"/>
  <c r="S34" i="40" s="1"/>
  <c r="Q33" i="40"/>
  <c r="Z33" i="40" s="1"/>
  <c r="Q32" i="40"/>
  <c r="Z32" i="40" s="1"/>
  <c r="U32" i="40"/>
  <c r="Z31" i="40"/>
  <c r="Q31" i="40"/>
  <c r="Q30" i="40"/>
  <c r="Z30" i="40" s="1"/>
  <c r="C30" i="40"/>
  <c r="AA28" i="40"/>
  <c r="Q28" i="40"/>
  <c r="Z28" i="40"/>
  <c r="J28" i="40"/>
  <c r="H28" i="40"/>
  <c r="AB28" i="40" s="1"/>
  <c r="F28" i="40"/>
  <c r="S28" i="40"/>
  <c r="C28" i="40"/>
  <c r="Q27" i="40"/>
  <c r="Z27" i="40"/>
  <c r="F27" i="40"/>
  <c r="AC25" i="40"/>
  <c r="W25" i="40"/>
  <c r="Q25" i="40"/>
  <c r="Z25" i="40"/>
  <c r="J25" i="40"/>
  <c r="H25" i="40"/>
  <c r="F25" i="40"/>
  <c r="AA25" i="40" s="1"/>
  <c r="Q23" i="40"/>
  <c r="Z23" i="40" s="1"/>
  <c r="J23" i="40"/>
  <c r="H23" i="40"/>
  <c r="F23" i="40"/>
  <c r="AA23" i="40"/>
  <c r="U21" i="40"/>
  <c r="Q21" i="40"/>
  <c r="Z21" i="40"/>
  <c r="J21" i="40"/>
  <c r="H21" i="40"/>
  <c r="AB21" i="40"/>
  <c r="F21" i="40"/>
  <c r="AA21" i="40" s="1"/>
  <c r="Q19" i="40"/>
  <c r="Z19" i="40" s="1"/>
  <c r="J19" i="40"/>
  <c r="W19" i="40" s="1"/>
  <c r="H19" i="40"/>
  <c r="U19" i="40"/>
  <c r="F19" i="40"/>
  <c r="AA19" i="40" s="1"/>
  <c r="C19" i="40"/>
  <c r="AC17" i="40"/>
  <c r="Q17" i="40"/>
  <c r="Z17" i="40" s="1"/>
  <c r="J17" i="40"/>
  <c r="W17" i="40" s="1"/>
  <c r="H17" i="40"/>
  <c r="U17" i="40" s="1"/>
  <c r="AB17" i="40"/>
  <c r="F17" i="40"/>
  <c r="AA17" i="40" s="1"/>
  <c r="W15" i="40"/>
  <c r="Q15" i="40"/>
  <c r="Z15" i="40" s="1"/>
  <c r="J15" i="40"/>
  <c r="AC15" i="40"/>
  <c r="H15" i="40"/>
  <c r="F15" i="40"/>
  <c r="AA15" i="40"/>
  <c r="AC14" i="40"/>
  <c r="W14" i="40"/>
  <c r="Q14" i="40"/>
  <c r="Z14" i="40" s="1"/>
  <c r="H14" i="40"/>
  <c r="U14" i="40"/>
  <c r="Q13" i="40"/>
  <c r="Z13" i="40" s="1"/>
  <c r="AC13" i="40"/>
  <c r="H13" i="40"/>
  <c r="Z12" i="40"/>
  <c r="Q12" i="40"/>
  <c r="F12" i="40"/>
  <c r="Q11" i="40"/>
  <c r="Z11" i="40"/>
  <c r="J11" i="40"/>
  <c r="H11" i="40"/>
  <c r="AB11" i="40"/>
  <c r="F11" i="40"/>
  <c r="Q10" i="40"/>
  <c r="Z10" i="40"/>
  <c r="Q9" i="40"/>
  <c r="Z9" i="40" s="1"/>
  <c r="J9" i="40"/>
  <c r="AC9" i="40" s="1"/>
  <c r="H9" i="40"/>
  <c r="AB9" i="40" s="1"/>
  <c r="F9" i="40"/>
  <c r="AA9" i="40"/>
  <c r="U8" i="40"/>
  <c r="J8" i="40"/>
  <c r="H8" i="40"/>
  <c r="AB8" i="40"/>
  <c r="F8" i="40"/>
  <c r="S8" i="40" s="1"/>
  <c r="B130" i="39"/>
  <c r="B128" i="39"/>
  <c r="H44" i="39" s="1"/>
  <c r="B126" i="39"/>
  <c r="I125" i="39"/>
  <c r="J125" i="39"/>
  <c r="K125" i="39" s="1"/>
  <c r="L125" i="39" s="1"/>
  <c r="M125" i="39" s="1"/>
  <c r="D125" i="39"/>
  <c r="E125" i="39" s="1"/>
  <c r="F125" i="39" s="1"/>
  <c r="G125" i="39" s="1"/>
  <c r="H125" i="39" s="1"/>
  <c r="D123" i="39"/>
  <c r="E123" i="39" s="1"/>
  <c r="F123" i="39"/>
  <c r="G123" i="39" s="1"/>
  <c r="H123" i="39" s="1"/>
  <c r="I123" i="39" s="1"/>
  <c r="J123" i="39"/>
  <c r="K123" i="39" s="1"/>
  <c r="L123" i="39" s="1"/>
  <c r="M123" i="39"/>
  <c r="J121" i="39"/>
  <c r="K121" i="39" s="1"/>
  <c r="L121" i="39" s="1"/>
  <c r="M121" i="39" s="1"/>
  <c r="E121" i="39"/>
  <c r="F121" i="39" s="1"/>
  <c r="G121" i="39" s="1"/>
  <c r="H121" i="39" s="1"/>
  <c r="I121" i="39" s="1"/>
  <c r="D121" i="39"/>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F36" i="39" s="1"/>
  <c r="B109" i="39"/>
  <c r="D108" i="39"/>
  <c r="E108" i="39" s="1"/>
  <c r="F108" i="39" s="1"/>
  <c r="G108" i="39" s="1"/>
  <c r="H108" i="39"/>
  <c r="I108" i="39" s="1"/>
  <c r="J108" i="39" s="1"/>
  <c r="K108" i="39"/>
  <c r="L108" i="39" s="1"/>
  <c r="M108" i="39" s="1"/>
  <c r="D106" i="39"/>
  <c r="E106" i="39" s="1"/>
  <c r="F106" i="39" s="1"/>
  <c r="G106" i="39" s="1"/>
  <c r="H106" i="39" s="1"/>
  <c r="I106" i="39" s="1"/>
  <c r="J106" i="39" s="1"/>
  <c r="K106" i="39" s="1"/>
  <c r="L106" i="39" s="1"/>
  <c r="M106" i="39" s="1"/>
  <c r="D104" i="39"/>
  <c r="E104" i="39" s="1"/>
  <c r="F104" i="39"/>
  <c r="G104" i="39" s="1"/>
  <c r="H104" i="39"/>
  <c r="I104" i="39" s="1"/>
  <c r="J104" i="39" s="1"/>
  <c r="K104" i="39" s="1"/>
  <c r="L104" i="39" s="1"/>
  <c r="M104" i="39" s="1"/>
  <c r="B103" i="39"/>
  <c r="J31" i="39" s="1"/>
  <c r="AC31" i="39" s="1"/>
  <c r="D102" i="39"/>
  <c r="E102" i="39" s="1"/>
  <c r="F102" i="39" s="1"/>
  <c r="G102" i="39" s="1"/>
  <c r="D100" i="39"/>
  <c r="E100" i="39" s="1"/>
  <c r="F100" i="39" s="1"/>
  <c r="G100" i="39" s="1"/>
  <c r="D98" i="39"/>
  <c r="E98" i="39" s="1"/>
  <c r="F98" i="39" s="1"/>
  <c r="G98" i="39" s="1"/>
  <c r="E96" i="39"/>
  <c r="F96" i="39" s="1"/>
  <c r="G96" i="39" s="1"/>
  <c r="D96" i="39"/>
  <c r="E94" i="39"/>
  <c r="F94" i="39" s="1"/>
  <c r="G94" i="39" s="1"/>
  <c r="D94" i="39"/>
  <c r="D92" i="39"/>
  <c r="E92" i="39"/>
  <c r="F92" i="39" s="1"/>
  <c r="G92" i="39"/>
  <c r="D90" i="39"/>
  <c r="E90" i="39" s="1"/>
  <c r="F90" i="39" s="1"/>
  <c r="G90" i="39" s="1"/>
  <c r="F88" i="39"/>
  <c r="G88" i="39" s="1"/>
  <c r="D88" i="39"/>
  <c r="E88" i="39" s="1"/>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c r="C58" i="39"/>
  <c r="H57" i="39"/>
  <c r="I57" i="39" s="1"/>
  <c r="C57" i="39" s="1"/>
  <c r="I53" i="39"/>
  <c r="J53" i="39"/>
  <c r="H53" i="39"/>
  <c r="G53" i="39"/>
  <c r="E53" i="39"/>
  <c r="F53" i="39" s="1"/>
  <c r="P48" i="39"/>
  <c r="P47" i="39"/>
  <c r="K47" i="39"/>
  <c r="V46" i="39"/>
  <c r="T46" i="39"/>
  <c r="R46" i="39"/>
  <c r="P46" i="39"/>
  <c r="Q45" i="39"/>
  <c r="Z45" i="39" s="1"/>
  <c r="Q44" i="39"/>
  <c r="Z44" i="39"/>
  <c r="J44" i="39"/>
  <c r="AC44" i="39" s="1"/>
  <c r="Z43" i="39"/>
  <c r="Q43" i="39"/>
  <c r="H43" i="39"/>
  <c r="AC42" i="39"/>
  <c r="Q42" i="39"/>
  <c r="Z42" i="39" s="1"/>
  <c r="J42" i="39"/>
  <c r="W42" i="39"/>
  <c r="H42" i="39"/>
  <c r="AB42" i="39"/>
  <c r="F42" i="39"/>
  <c r="AA42" i="39" s="1"/>
  <c r="AC41" i="39"/>
  <c r="W41" i="39"/>
  <c r="Q41" i="39"/>
  <c r="Z41" i="39" s="1"/>
  <c r="J41" i="39"/>
  <c r="H41" i="39"/>
  <c r="F41" i="39"/>
  <c r="AA41" i="39"/>
  <c r="AC40" i="39"/>
  <c r="W40" i="39"/>
  <c r="Q40" i="39"/>
  <c r="Z40" i="39" s="1"/>
  <c r="J40" i="39"/>
  <c r="H40" i="39"/>
  <c r="AB40" i="39"/>
  <c r="F40" i="39"/>
  <c r="AA40" i="39"/>
  <c r="Z39" i="39"/>
  <c r="Q39" i="39"/>
  <c r="J39" i="39"/>
  <c r="AC39" i="39" s="1"/>
  <c r="H39" i="39"/>
  <c r="F39" i="39"/>
  <c r="AA39" i="39" s="1"/>
  <c r="AC38" i="39"/>
  <c r="Q38" i="39"/>
  <c r="Z38" i="39"/>
  <c r="J38" i="39"/>
  <c r="W38" i="39"/>
  <c r="H38" i="39"/>
  <c r="F38" i="39"/>
  <c r="AA38" i="39"/>
  <c r="Z37" i="39"/>
  <c r="Q37" i="39"/>
  <c r="Z36" i="39"/>
  <c r="Q36" i="39"/>
  <c r="AC35" i="39"/>
  <c r="Z35" i="39"/>
  <c r="W35" i="39"/>
  <c r="U35" i="39"/>
  <c r="Q35" i="39"/>
  <c r="J35" i="39"/>
  <c r="H35" i="39"/>
  <c r="AB35" i="39"/>
  <c r="F35" i="39"/>
  <c r="AA35" i="39"/>
  <c r="AB34" i="39"/>
  <c r="Q34" i="39"/>
  <c r="Z34" i="39"/>
  <c r="J34" i="39"/>
  <c r="W34" i="39" s="1"/>
  <c r="AC34" i="39"/>
  <c r="H34" i="39"/>
  <c r="U34" i="39"/>
  <c r="F34" i="39"/>
  <c r="AA32" i="39"/>
  <c r="Q32" i="39"/>
  <c r="Z32" i="39"/>
  <c r="J32" i="39"/>
  <c r="AC32" i="39"/>
  <c r="H32" i="39"/>
  <c r="F32" i="39"/>
  <c r="S32" i="39"/>
  <c r="Q31" i="39"/>
  <c r="Z31" i="39" s="1"/>
  <c r="H31" i="39"/>
  <c r="AB31" i="39"/>
  <c r="F31" i="39"/>
  <c r="AA31" i="39" s="1"/>
  <c r="Q29" i="39"/>
  <c r="Z29" i="39" s="1"/>
  <c r="J29" i="39"/>
  <c r="H29" i="39"/>
  <c r="F29" i="39"/>
  <c r="AA29" i="39" s="1"/>
  <c r="W27" i="39"/>
  <c r="U27" i="39"/>
  <c r="Q27" i="39"/>
  <c r="Z27" i="39" s="1"/>
  <c r="J27" i="39"/>
  <c r="AC27" i="39" s="1"/>
  <c r="H27" i="39"/>
  <c r="AB27" i="39" s="1"/>
  <c r="F27" i="39"/>
  <c r="AA27" i="39"/>
  <c r="Q25" i="39"/>
  <c r="Z25" i="39" s="1"/>
  <c r="J25" i="39"/>
  <c r="H25" i="39"/>
  <c r="F25" i="39"/>
  <c r="AA25" i="39" s="1"/>
  <c r="AC23" i="39"/>
  <c r="AB23" i="39"/>
  <c r="Q23" i="39"/>
  <c r="Z23" i="39" s="1"/>
  <c r="J23" i="39"/>
  <c r="W23" i="39" s="1"/>
  <c r="H23" i="39"/>
  <c r="U23" i="39" s="1"/>
  <c r="F23" i="39"/>
  <c r="AA23" i="39"/>
  <c r="C23" i="39"/>
  <c r="Q21" i="39"/>
  <c r="Z21" i="39" s="1"/>
  <c r="J21" i="39"/>
  <c r="H21" i="39"/>
  <c r="F21" i="39"/>
  <c r="AA21" i="39"/>
  <c r="W19" i="39"/>
  <c r="Q19" i="39"/>
  <c r="Z19" i="39" s="1"/>
  <c r="J19" i="39"/>
  <c r="AC19" i="39" s="1"/>
  <c r="H19" i="39"/>
  <c r="F19" i="39"/>
  <c r="AA19" i="39" s="1"/>
  <c r="Q17" i="39"/>
  <c r="Z17" i="39" s="1"/>
  <c r="J17" i="39"/>
  <c r="AC17" i="39"/>
  <c r="H17" i="39"/>
  <c r="F17" i="39"/>
  <c r="AA17" i="39"/>
  <c r="AC15" i="39"/>
  <c r="W15" i="39"/>
  <c r="U15" i="39"/>
  <c r="Q15" i="39"/>
  <c r="Z15" i="39"/>
  <c r="J15" i="39"/>
  <c r="H15" i="39"/>
  <c r="AB15" i="39" s="1"/>
  <c r="F15" i="39"/>
  <c r="AA15" i="39"/>
  <c r="Z14" i="39"/>
  <c r="Q14" i="39"/>
  <c r="H14" i="39"/>
  <c r="Q13" i="39"/>
  <c r="Z13" i="39"/>
  <c r="H13" i="39"/>
  <c r="S12" i="39"/>
  <c r="Q12" i="39"/>
  <c r="Z12" i="39" s="1"/>
  <c r="F12" i="39"/>
  <c r="AA12" i="39"/>
  <c r="AC11" i="39"/>
  <c r="W11" i="39"/>
  <c r="Q11" i="39"/>
  <c r="Z11" i="39" s="1"/>
  <c r="J11" i="39"/>
  <c r="H11" i="39"/>
  <c r="AB11" i="39" s="1"/>
  <c r="F11" i="39"/>
  <c r="AA11" i="39"/>
  <c r="Q10" i="39"/>
  <c r="Z10" i="39" s="1"/>
  <c r="AA9" i="39"/>
  <c r="Q9" i="39"/>
  <c r="Z9" i="39" s="1"/>
  <c r="J9" i="39"/>
  <c r="AC9" i="39" s="1"/>
  <c r="H9" i="39"/>
  <c r="AB9" i="39" s="1"/>
  <c r="U9" i="39"/>
  <c r="F9" i="39"/>
  <c r="S9" i="39"/>
  <c r="J8" i="39"/>
  <c r="AC8" i="39" s="1"/>
  <c r="W8" i="39"/>
  <c r="H8" i="39"/>
  <c r="U8" i="39" s="1"/>
  <c r="AB8" i="39"/>
  <c r="F8" i="39"/>
  <c r="S8" i="39" s="1"/>
  <c r="B95" i="36"/>
  <c r="F34" i="36" s="1"/>
  <c r="B93" i="36"/>
  <c r="B91" i="36"/>
  <c r="F32"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c r="J83" i="36"/>
  <c r="K83" i="36" s="1"/>
  <c r="L83" i="36" s="1"/>
  <c r="M83" i="36" s="1"/>
  <c r="D81" i="36"/>
  <c r="E81" i="36"/>
  <c r="F81" i="36"/>
  <c r="G81" i="36"/>
  <c r="H81" i="36" s="1"/>
  <c r="I81" i="36" s="1"/>
  <c r="J81" i="36" s="1"/>
  <c r="K81" i="36" s="1"/>
  <c r="L81" i="36" s="1"/>
  <c r="M81" i="36" s="1"/>
  <c r="G79" i="36"/>
  <c r="F79" i="36"/>
  <c r="E79" i="36"/>
  <c r="D79" i="36"/>
  <c r="C79" i="36"/>
  <c r="E78" i="36"/>
  <c r="F78" i="36"/>
  <c r="G78" i="36" s="1"/>
  <c r="H78" i="36" s="1"/>
  <c r="I78" i="36" s="1"/>
  <c r="J78" i="36" s="1"/>
  <c r="K78" i="36"/>
  <c r="L78" i="36" s="1"/>
  <c r="M78" i="36" s="1"/>
  <c r="D78" i="36"/>
  <c r="B75" i="36"/>
  <c r="H25" i="36"/>
  <c r="B73" i="36"/>
  <c r="F24" i="36" s="1"/>
  <c r="B71" i="36"/>
  <c r="J23" i="36" s="1"/>
  <c r="W23" i="36" s="1"/>
  <c r="D70" i="36"/>
  <c r="D68" i="36"/>
  <c r="E68" i="36"/>
  <c r="F68" i="36"/>
  <c r="G68" i="36"/>
  <c r="D66" i="36"/>
  <c r="E66" i="36" s="1"/>
  <c r="F66" i="36" s="1"/>
  <c r="G66" i="36" s="1"/>
  <c r="D64" i="36"/>
  <c r="E64" i="36" s="1"/>
  <c r="F64" i="36" s="1"/>
  <c r="G64" i="36" s="1"/>
  <c r="F62" i="36"/>
  <c r="G62" i="36" s="1"/>
  <c r="D62" i="36"/>
  <c r="E62" i="36" s="1"/>
  <c r="B59" i="36"/>
  <c r="H13" i="36"/>
  <c r="B57" i="36"/>
  <c r="B55" i="36"/>
  <c r="C51" i="36"/>
  <c r="I42" i="36"/>
  <c r="J42" i="36" s="1"/>
  <c r="H42" i="36"/>
  <c r="G42" i="36"/>
  <c r="F42" i="36"/>
  <c r="E42" i="36"/>
  <c r="P37" i="36"/>
  <c r="P36" i="36"/>
  <c r="K36" i="36"/>
  <c r="V35" i="36"/>
  <c r="T35" i="36"/>
  <c r="R35" i="36"/>
  <c r="P35" i="36"/>
  <c r="AB34" i="36"/>
  <c r="AA34" i="36"/>
  <c r="Q34" i="36"/>
  <c r="Z34" i="36" s="1"/>
  <c r="J34" i="36"/>
  <c r="AC34" i="36" s="1"/>
  <c r="H34" i="36"/>
  <c r="U34" i="36"/>
  <c r="S34" i="36"/>
  <c r="Q33" i="36"/>
  <c r="Z33" i="36" s="1"/>
  <c r="AB32" i="36"/>
  <c r="U32" i="36"/>
  <c r="Q32" i="36"/>
  <c r="Z32" i="36"/>
  <c r="J32" i="36"/>
  <c r="H32" i="36"/>
  <c r="Q31" i="36"/>
  <c r="Z31" i="36"/>
  <c r="J31" i="36"/>
  <c r="H31" i="36"/>
  <c r="AB31" i="36" s="1"/>
  <c r="F31" i="36"/>
  <c r="AA31" i="36"/>
  <c r="AA30" i="36"/>
  <c r="Z30" i="36"/>
  <c r="U30" i="36"/>
  <c r="Q30" i="36"/>
  <c r="J30" i="36"/>
  <c r="AC30" i="36"/>
  <c r="H30" i="36"/>
  <c r="AB30" i="36"/>
  <c r="F30" i="36"/>
  <c r="S30" i="36" s="1"/>
  <c r="Q29" i="36"/>
  <c r="Z29" i="36" s="1"/>
  <c r="J29" i="36"/>
  <c r="H29" i="36"/>
  <c r="AB29" i="36" s="1"/>
  <c r="F29" i="36"/>
  <c r="AB28" i="36"/>
  <c r="W28" i="36"/>
  <c r="Q28" i="36"/>
  <c r="Z28" i="36"/>
  <c r="J28" i="36"/>
  <c r="AC28" i="36" s="1"/>
  <c r="H28" i="36"/>
  <c r="U28" i="36" s="1"/>
  <c r="F28" i="36"/>
  <c r="AA28" i="36" s="1"/>
  <c r="AA27" i="36"/>
  <c r="W27" i="36"/>
  <c r="Q27" i="36"/>
  <c r="Z27" i="36"/>
  <c r="J27" i="36"/>
  <c r="AC27" i="36" s="1"/>
  <c r="H27" i="36"/>
  <c r="F27" i="36"/>
  <c r="S27" i="36"/>
  <c r="AB26" i="36"/>
  <c r="AA26" i="36"/>
  <c r="Q26" i="36"/>
  <c r="Z26" i="36" s="1"/>
  <c r="J26" i="36"/>
  <c r="AC26" i="36"/>
  <c r="H26" i="36"/>
  <c r="U26" i="36"/>
  <c r="F26" i="36"/>
  <c r="S26" i="36"/>
  <c r="W25" i="36"/>
  <c r="Q25" i="36"/>
  <c r="Z25" i="36"/>
  <c r="J25" i="36"/>
  <c r="AC25" i="36" s="1"/>
  <c r="F25" i="36"/>
  <c r="AB24" i="36"/>
  <c r="U24" i="36"/>
  <c r="Q24" i="36"/>
  <c r="Z24" i="36"/>
  <c r="J24" i="36"/>
  <c r="W24" i="36" s="1"/>
  <c r="H24" i="36"/>
  <c r="AA24" i="36"/>
  <c r="Q23" i="36"/>
  <c r="Z23" i="36" s="1"/>
  <c r="AB22" i="36"/>
  <c r="AA22" i="36"/>
  <c r="Z22" i="36"/>
  <c r="Q22" i="36"/>
  <c r="J22" i="36"/>
  <c r="AC22" i="36"/>
  <c r="H22" i="36"/>
  <c r="U22" i="36"/>
  <c r="F22" i="36"/>
  <c r="S22" i="36" s="1"/>
  <c r="Q20" i="36"/>
  <c r="Z20" i="36"/>
  <c r="J20" i="36"/>
  <c r="AC20" i="36" s="1"/>
  <c r="H20" i="36"/>
  <c r="AB20" i="36"/>
  <c r="F20" i="36"/>
  <c r="AA20" i="36" s="1"/>
  <c r="C20" i="36"/>
  <c r="AA18" i="36"/>
  <c r="Z18" i="36"/>
  <c r="W18" i="36"/>
  <c r="Q18" i="36"/>
  <c r="J18" i="36"/>
  <c r="AC18" i="36"/>
  <c r="H18" i="36"/>
  <c r="AB18" i="36"/>
  <c r="F18" i="36"/>
  <c r="S18" i="36" s="1"/>
  <c r="C18" i="36"/>
  <c r="Q16" i="36"/>
  <c r="Z16" i="36"/>
  <c r="J16" i="36"/>
  <c r="H16" i="36"/>
  <c r="AB16" i="36"/>
  <c r="F16" i="36"/>
  <c r="S16" i="36" s="1"/>
  <c r="C16" i="36"/>
  <c r="Z14" i="36"/>
  <c r="Q14" i="36"/>
  <c r="J14" i="36"/>
  <c r="AC14" i="36" s="1"/>
  <c r="H14" i="36"/>
  <c r="AB14" i="36"/>
  <c r="F14" i="36"/>
  <c r="C14" i="36"/>
  <c r="AC13" i="36"/>
  <c r="Q13" i="36"/>
  <c r="Z13" i="36"/>
  <c r="J13" i="36"/>
  <c r="W13" i="36" s="1"/>
  <c r="F13" i="36"/>
  <c r="AA13" i="36" s="1"/>
  <c r="AC12" i="36"/>
  <c r="AB12" i="36"/>
  <c r="W12" i="36"/>
  <c r="U12" i="36"/>
  <c r="Q12" i="36"/>
  <c r="Z12" i="36"/>
  <c r="J12" i="36"/>
  <c r="H12" i="36"/>
  <c r="F12" i="36"/>
  <c r="AA12" i="36"/>
  <c r="Q11" i="36"/>
  <c r="Z11" i="36" s="1"/>
  <c r="AB10" i="36"/>
  <c r="Q10" i="36"/>
  <c r="Z10" i="36" s="1"/>
  <c r="J10" i="36"/>
  <c r="AC10" i="36"/>
  <c r="H10" i="36"/>
  <c r="U10" i="36"/>
  <c r="F10" i="36"/>
  <c r="AA10" i="36" s="1"/>
  <c r="S10" i="36"/>
  <c r="Q9" i="36"/>
  <c r="Z9" i="36" s="1"/>
  <c r="AB8" i="36"/>
  <c r="U8" i="36"/>
  <c r="S8" i="36"/>
  <c r="J8" i="36"/>
  <c r="H8" i="36"/>
  <c r="F8" i="36"/>
  <c r="AA8" i="36"/>
  <c r="D3" i="36"/>
  <c r="B2" i="36"/>
  <c r="B101" i="35"/>
  <c r="J36" i="35" s="1"/>
  <c r="B99" i="35"/>
  <c r="J35" i="35" s="1"/>
  <c r="H35" i="35"/>
  <c r="B97" i="35"/>
  <c r="F34" i="35"/>
  <c r="F96" i="35"/>
  <c r="G96" i="35" s="1"/>
  <c r="D96" i="35"/>
  <c r="E96" i="35"/>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c r="H89" i="35" s="1"/>
  <c r="I89" i="35" s="1"/>
  <c r="J89" i="35" s="1"/>
  <c r="K89" i="35" s="1"/>
  <c r="L89" i="35" s="1"/>
  <c r="M89" i="35" s="1"/>
  <c r="D89" i="35"/>
  <c r="E89" i="35" s="1"/>
  <c r="F87" i="35"/>
  <c r="G87" i="35" s="1"/>
  <c r="H87" i="35" s="1"/>
  <c r="I87" i="35" s="1"/>
  <c r="J87" i="35" s="1"/>
  <c r="K87" i="35" s="1"/>
  <c r="L87" i="35" s="1"/>
  <c r="M87" i="35" s="1"/>
  <c r="D87" i="35"/>
  <c r="E87" i="35" s="1"/>
  <c r="G85" i="35"/>
  <c r="F85" i="35"/>
  <c r="E85" i="35"/>
  <c r="D85" i="35"/>
  <c r="C85" i="35"/>
  <c r="G84" i="35"/>
  <c r="H84" i="35" s="1"/>
  <c r="I84" i="35"/>
  <c r="J84" i="35" s="1"/>
  <c r="K84" i="35" s="1"/>
  <c r="L84" i="35" s="1"/>
  <c r="M84" i="35" s="1"/>
  <c r="E84" i="35"/>
  <c r="F84" i="35" s="1"/>
  <c r="D84" i="35"/>
  <c r="D80" i="35"/>
  <c r="E80" i="35" s="1"/>
  <c r="F80" i="35"/>
  <c r="G80" i="35" s="1"/>
  <c r="H80" i="35"/>
  <c r="I80" i="35" s="1"/>
  <c r="J80" i="35" s="1"/>
  <c r="K80" i="35" s="1"/>
  <c r="L80" i="35" s="1"/>
  <c r="M80" i="35" s="1"/>
  <c r="B77" i="35"/>
  <c r="B75" i="35"/>
  <c r="F24" i="35" s="1"/>
  <c r="B73" i="35"/>
  <c r="J23" i="35"/>
  <c r="D72" i="35"/>
  <c r="E72" i="35"/>
  <c r="F72" i="35"/>
  <c r="G72" i="35" s="1"/>
  <c r="D70" i="35"/>
  <c r="E70" i="35"/>
  <c r="F70" i="35" s="1"/>
  <c r="G70" i="35" s="1"/>
  <c r="D68" i="35"/>
  <c r="E68" i="35"/>
  <c r="F68" i="35" s="1"/>
  <c r="G68" i="35" s="1"/>
  <c r="D66" i="35"/>
  <c r="E66" i="35" s="1"/>
  <c r="F66" i="35" s="1"/>
  <c r="G66" i="35" s="1"/>
  <c r="D64" i="35"/>
  <c r="E64" i="35"/>
  <c r="F64" i="35" s="1"/>
  <c r="G64" i="35" s="1"/>
  <c r="B61" i="35"/>
  <c r="B59" i="35"/>
  <c r="B57" i="35"/>
  <c r="C53" i="35"/>
  <c r="J9" i="35" s="1"/>
  <c r="I44" i="35"/>
  <c r="J44" i="35" s="1"/>
  <c r="G44" i="35"/>
  <c r="H44" i="35"/>
  <c r="E44" i="35"/>
  <c r="F44" i="35"/>
  <c r="P39" i="35"/>
  <c r="P38" i="35"/>
  <c r="K38" i="35"/>
  <c r="B38" i="35"/>
  <c r="V37" i="35"/>
  <c r="T37" i="35"/>
  <c r="R37" i="35"/>
  <c r="P37" i="35"/>
  <c r="Q36" i="35"/>
  <c r="Z36" i="35" s="1"/>
  <c r="H36" i="35"/>
  <c r="F36" i="35"/>
  <c r="Z35" i="35"/>
  <c r="W35" i="35"/>
  <c r="Q35" i="35"/>
  <c r="AC35" i="35"/>
  <c r="F35" i="35"/>
  <c r="Q34" i="35"/>
  <c r="Z34" i="35" s="1"/>
  <c r="H34" i="35"/>
  <c r="AA33" i="35"/>
  <c r="Q33" i="35"/>
  <c r="Z33" i="35"/>
  <c r="J33" i="35"/>
  <c r="H33" i="35"/>
  <c r="U33" i="35" s="1"/>
  <c r="F33" i="35"/>
  <c r="S33" i="35"/>
  <c r="AB32" i="35"/>
  <c r="Q32" i="35"/>
  <c r="Z32" i="35"/>
  <c r="J32" i="35"/>
  <c r="AC32" i="35"/>
  <c r="H32" i="35"/>
  <c r="U32" i="35"/>
  <c r="F32" i="35"/>
  <c r="AC31" i="35"/>
  <c r="Q31" i="35"/>
  <c r="Z31" i="35" s="1"/>
  <c r="J31" i="35"/>
  <c r="W31" i="35" s="1"/>
  <c r="H31" i="35"/>
  <c r="AB31" i="35"/>
  <c r="F31" i="35"/>
  <c r="AA31" i="35"/>
  <c r="Z30" i="35"/>
  <c r="W30" i="35"/>
  <c r="Q30" i="35"/>
  <c r="J30" i="35"/>
  <c r="AC30" i="35" s="1"/>
  <c r="H30" i="35"/>
  <c r="F30" i="35"/>
  <c r="AA30" i="35" s="1"/>
  <c r="AB29" i="35"/>
  <c r="Q29" i="35"/>
  <c r="Z29" i="35"/>
  <c r="J29" i="35"/>
  <c r="AC29" i="35" s="1"/>
  <c r="W29" i="35"/>
  <c r="H29" i="35"/>
  <c r="U29" i="35"/>
  <c r="F29" i="35"/>
  <c r="AA29" i="35"/>
  <c r="AB28" i="35"/>
  <c r="Q28" i="35"/>
  <c r="Z28" i="35" s="1"/>
  <c r="J28" i="35"/>
  <c r="AC28" i="35" s="1"/>
  <c r="H28" i="35"/>
  <c r="U28" i="35"/>
  <c r="F28" i="35"/>
  <c r="AA28" i="35" s="1"/>
  <c r="Z27" i="35"/>
  <c r="Q27" i="35"/>
  <c r="J27" i="35"/>
  <c r="H27" i="35"/>
  <c r="AB27" i="35" s="1"/>
  <c r="F27" i="35"/>
  <c r="AA27" i="35" s="1"/>
  <c r="S27" i="35"/>
  <c r="Q26" i="35"/>
  <c r="Z26" i="35" s="1"/>
  <c r="C26" i="35"/>
  <c r="Q25" i="35"/>
  <c r="Z25" i="35"/>
  <c r="Q24" i="35"/>
  <c r="Z24" i="35" s="1"/>
  <c r="J24" i="35"/>
  <c r="AC24" i="35" s="1"/>
  <c r="W24" i="35"/>
  <c r="H24" i="35"/>
  <c r="AB24" i="35"/>
  <c r="AA24" i="35"/>
  <c r="Q23" i="35"/>
  <c r="Z23" i="35" s="1"/>
  <c r="H23" i="35"/>
  <c r="F23" i="35"/>
  <c r="Q22" i="35"/>
  <c r="Z22" i="35" s="1"/>
  <c r="J22" i="35"/>
  <c r="H22" i="35"/>
  <c r="AB22" i="35"/>
  <c r="F22" i="35"/>
  <c r="AA22" i="35" s="1"/>
  <c r="S22" i="35"/>
  <c r="Q20" i="35"/>
  <c r="Z20" i="35"/>
  <c r="J20" i="35"/>
  <c r="H20" i="35"/>
  <c r="F20" i="35"/>
  <c r="AA20" i="35" s="1"/>
  <c r="C20" i="35"/>
  <c r="AC18" i="35"/>
  <c r="Z18" i="35"/>
  <c r="W18" i="35"/>
  <c r="Q18" i="35"/>
  <c r="J18" i="35"/>
  <c r="H18" i="35"/>
  <c r="AB18" i="35" s="1"/>
  <c r="F18" i="35"/>
  <c r="AA18" i="35" s="1"/>
  <c r="C18" i="35"/>
  <c r="Q16" i="35"/>
  <c r="Z16" i="35" s="1"/>
  <c r="J16" i="35"/>
  <c r="H16" i="35"/>
  <c r="F16" i="35"/>
  <c r="AA16" i="35"/>
  <c r="C16" i="35"/>
  <c r="AC14" i="35"/>
  <c r="Z14" i="35"/>
  <c r="W14" i="35"/>
  <c r="Q14" i="35"/>
  <c r="J14" i="35"/>
  <c r="H14" i="35"/>
  <c r="F14" i="35"/>
  <c r="AA14" i="35"/>
  <c r="C14" i="35"/>
  <c r="Q13" i="35"/>
  <c r="Z13" i="35" s="1"/>
  <c r="AC12" i="35"/>
  <c r="Q12" i="35"/>
  <c r="Z12" i="35" s="1"/>
  <c r="J12" i="35"/>
  <c r="W12" i="35"/>
  <c r="H12" i="35"/>
  <c r="AB12" i="35" s="1"/>
  <c r="U12" i="35"/>
  <c r="F12" i="35"/>
  <c r="AA12" i="35" s="1"/>
  <c r="AB11" i="35"/>
  <c r="Q11" i="35"/>
  <c r="Z11" i="35" s="1"/>
  <c r="J11" i="35"/>
  <c r="AC11" i="35"/>
  <c r="H11" i="35"/>
  <c r="U11" i="35"/>
  <c r="F11" i="35"/>
  <c r="AA11" i="35"/>
  <c r="Z10" i="35"/>
  <c r="Q10" i="35"/>
  <c r="J10" i="35"/>
  <c r="AC10" i="35"/>
  <c r="H10" i="35"/>
  <c r="AB10" i="35" s="1"/>
  <c r="F10" i="35"/>
  <c r="Q9" i="35"/>
  <c r="Z9" i="35" s="1"/>
  <c r="AB8" i="35"/>
  <c r="AA8" i="35"/>
  <c r="U8" i="35"/>
  <c r="S8" i="35"/>
  <c r="J8" i="35"/>
  <c r="H8" i="35"/>
  <c r="F8" i="35"/>
  <c r="D3" i="35"/>
  <c r="B3" i="35" s="1"/>
  <c r="B2" i="35"/>
  <c r="B112" i="37"/>
  <c r="B110" i="37"/>
  <c r="B108" i="37"/>
  <c r="H38" i="37"/>
  <c r="H107" i="37"/>
  <c r="I107" i="37"/>
  <c r="J107" i="37" s="1"/>
  <c r="K107" i="37" s="1"/>
  <c r="L107" i="37" s="1"/>
  <c r="M107" i="37" s="1"/>
  <c r="E107" i="37"/>
  <c r="F107" i="37" s="1"/>
  <c r="G107" i="37" s="1"/>
  <c r="D107" i="37"/>
  <c r="D105" i="37"/>
  <c r="E105" i="37" s="1"/>
  <c r="F105" i="37" s="1"/>
  <c r="G105" i="37" s="1"/>
  <c r="D103" i="37"/>
  <c r="E103" i="37"/>
  <c r="F103" i="37" s="1"/>
  <c r="G103" i="37" s="1"/>
  <c r="H103" i="37" s="1"/>
  <c r="I103" i="37" s="1"/>
  <c r="J103" i="37" s="1"/>
  <c r="K103" i="37" s="1"/>
  <c r="L103" i="37" s="1"/>
  <c r="M103" i="37" s="1"/>
  <c r="G101" i="37"/>
  <c r="H101" i="37" s="1"/>
  <c r="I101" i="37" s="1"/>
  <c r="J101" i="37" s="1"/>
  <c r="K101" i="37" s="1"/>
  <c r="L101" i="37" s="1"/>
  <c r="M101" i="37" s="1"/>
  <c r="E101" i="37"/>
  <c r="F101" i="37" s="1"/>
  <c r="D101" i="37"/>
  <c r="M99" i="37"/>
  <c r="D99" i="37"/>
  <c r="E99" i="37"/>
  <c r="F99" i="37"/>
  <c r="G99" i="37"/>
  <c r="H99" i="37"/>
  <c r="I99" i="37"/>
  <c r="J99" i="37" s="1"/>
  <c r="K99" i="37" s="1"/>
  <c r="L99" i="37" s="1"/>
  <c r="G97" i="37"/>
  <c r="F97" i="37"/>
  <c r="E97" i="37"/>
  <c r="D97" i="37"/>
  <c r="C97" i="37"/>
  <c r="D96" i="37"/>
  <c r="E96" i="37"/>
  <c r="F96" i="37"/>
  <c r="G96" i="37"/>
  <c r="H96" i="37"/>
  <c r="I96" i="37"/>
  <c r="J96" i="37" s="1"/>
  <c r="K96" i="37" s="1"/>
  <c r="L96" i="37" s="1"/>
  <c r="M96" i="37"/>
  <c r="F94" i="37"/>
  <c r="G94" i="37"/>
  <c r="H94" i="37" s="1"/>
  <c r="I94" i="37" s="1"/>
  <c r="J94" i="37" s="1"/>
  <c r="K94" i="37" s="1"/>
  <c r="L94" i="37" s="1"/>
  <c r="M94" i="37" s="1"/>
  <c r="D94" i="37"/>
  <c r="E94" i="37"/>
  <c r="M90" i="37"/>
  <c r="L90" i="37"/>
  <c r="K90" i="37"/>
  <c r="J90" i="37"/>
  <c r="I90" i="37"/>
  <c r="H90" i="37"/>
  <c r="G90" i="37"/>
  <c r="F90" i="37"/>
  <c r="E90" i="37"/>
  <c r="D90" i="37"/>
  <c r="C90" i="37"/>
  <c r="G89" i="37"/>
  <c r="H89" i="37"/>
  <c r="I89" i="37"/>
  <c r="J89" i="37"/>
  <c r="K89" i="37" s="1"/>
  <c r="L89" i="37" s="1"/>
  <c r="M89" i="37" s="1"/>
  <c r="D89" i="37"/>
  <c r="E89" i="37" s="1"/>
  <c r="F89" i="37" s="1"/>
  <c r="B86" i="37"/>
  <c r="J28" i="37" s="1"/>
  <c r="B84" i="37"/>
  <c r="B82" i="37"/>
  <c r="B80" i="37"/>
  <c r="F25" i="37" s="1"/>
  <c r="E79" i="37"/>
  <c r="F79" i="37"/>
  <c r="G79" i="37" s="1"/>
  <c r="D79" i="37"/>
  <c r="D77" i="37"/>
  <c r="E77" i="37" s="1"/>
  <c r="F77" i="37" s="1"/>
  <c r="G77" i="37" s="1"/>
  <c r="G75" i="37"/>
  <c r="E75" i="37"/>
  <c r="F75" i="37" s="1"/>
  <c r="D75" i="37"/>
  <c r="D73" i="37"/>
  <c r="E73" i="37" s="1"/>
  <c r="F73" i="37" s="1"/>
  <c r="G73" i="37" s="1"/>
  <c r="D71" i="37"/>
  <c r="E71" i="37" s="1"/>
  <c r="F71" i="37" s="1"/>
  <c r="G71" i="37" s="1"/>
  <c r="B68" i="37"/>
  <c r="B66" i="37"/>
  <c r="B64" i="37"/>
  <c r="F12" i="37" s="1"/>
  <c r="H63" i="37"/>
  <c r="I63" i="37" s="1"/>
  <c r="J63" i="37" s="1"/>
  <c r="K63" i="37" s="1"/>
  <c r="L63" i="37" s="1"/>
  <c r="M63" i="37" s="1"/>
  <c r="D63" i="37"/>
  <c r="E63" i="37"/>
  <c r="F63" i="37" s="1"/>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Q40" i="37"/>
  <c r="Z40" i="37" s="1"/>
  <c r="J40" i="37"/>
  <c r="W40" i="37" s="1"/>
  <c r="H40" i="37"/>
  <c r="AB40" i="37"/>
  <c r="F40" i="37"/>
  <c r="AA40" i="37"/>
  <c r="Q39" i="37"/>
  <c r="Z39" i="37" s="1"/>
  <c r="Q38" i="37"/>
  <c r="Z38" i="37"/>
  <c r="J38" i="37"/>
  <c r="F38" i="37"/>
  <c r="Q37" i="37"/>
  <c r="Z37" i="37"/>
  <c r="J37" i="37"/>
  <c r="AC37" i="37" s="1"/>
  <c r="H37" i="37"/>
  <c r="F37" i="37"/>
  <c r="AA37" i="37"/>
  <c r="AC36" i="37"/>
  <c r="Z36" i="37"/>
  <c r="W36" i="37"/>
  <c r="Q36" i="37"/>
  <c r="J36" i="37"/>
  <c r="H36" i="37"/>
  <c r="AB36" i="37"/>
  <c r="F36" i="37"/>
  <c r="AA36" i="37" s="1"/>
  <c r="Q35" i="37"/>
  <c r="Z35" i="37" s="1"/>
  <c r="J35" i="37"/>
  <c r="H35" i="37"/>
  <c r="F35" i="37"/>
  <c r="AA35" i="37"/>
  <c r="Q34" i="37"/>
  <c r="Z34" i="37" s="1"/>
  <c r="J34" i="37"/>
  <c r="AC34" i="37" s="1"/>
  <c r="W34" i="37"/>
  <c r="H34" i="37"/>
  <c r="AB34" i="37" s="1"/>
  <c r="U34" i="37"/>
  <c r="F34" i="37"/>
  <c r="AA34" i="37" s="1"/>
  <c r="S34" i="37"/>
  <c r="Q33" i="37"/>
  <c r="Z33" i="37" s="1"/>
  <c r="J33" i="37"/>
  <c r="AC33" i="37"/>
  <c r="H33" i="37"/>
  <c r="F33" i="37"/>
  <c r="AA33" i="37"/>
  <c r="Z32" i="37"/>
  <c r="W32" i="37"/>
  <c r="Q32" i="37"/>
  <c r="J32" i="37"/>
  <c r="AC32" i="37"/>
  <c r="H32" i="37"/>
  <c r="AB32" i="37"/>
  <c r="F32" i="37"/>
  <c r="AA32" i="37" s="1"/>
  <c r="Q31" i="37"/>
  <c r="Z31" i="37"/>
  <c r="J31" i="37"/>
  <c r="H31" i="37"/>
  <c r="AB31" i="37" s="1"/>
  <c r="F31" i="37"/>
  <c r="U30" i="37"/>
  <c r="Q30" i="37"/>
  <c r="Z30" i="37"/>
  <c r="J30" i="37"/>
  <c r="H30" i="37"/>
  <c r="AB30" i="37" s="1"/>
  <c r="F30" i="37"/>
  <c r="AA30" i="37"/>
  <c r="AB29" i="37"/>
  <c r="Q29" i="37"/>
  <c r="Z29" i="37"/>
  <c r="J29" i="37"/>
  <c r="AC29" i="37"/>
  <c r="H29" i="37"/>
  <c r="U29" i="37" s="1"/>
  <c r="F29" i="37"/>
  <c r="AA29" i="37" s="1"/>
  <c r="Q28" i="37"/>
  <c r="Z28" i="37"/>
  <c r="H28" i="37"/>
  <c r="AB28" i="37" s="1"/>
  <c r="F28" i="37"/>
  <c r="Q27" i="37"/>
  <c r="Z27" i="37" s="1"/>
  <c r="Q26" i="37"/>
  <c r="Z26" i="37"/>
  <c r="J26" i="37"/>
  <c r="AA25" i="37"/>
  <c r="Q25" i="37"/>
  <c r="Z25" i="37" s="1"/>
  <c r="J25" i="37"/>
  <c r="AC25" i="37"/>
  <c r="H25" i="37"/>
  <c r="AB25" i="37" s="1"/>
  <c r="S25" i="37"/>
  <c r="Q23" i="37"/>
  <c r="Z23" i="37" s="1"/>
  <c r="J23" i="37"/>
  <c r="AC23" i="37" s="1"/>
  <c r="H23" i="37"/>
  <c r="AB23" i="37" s="1"/>
  <c r="F23" i="37"/>
  <c r="AA23" i="37" s="1"/>
  <c r="C23" i="37"/>
  <c r="Z21" i="37"/>
  <c r="Q21" i="37"/>
  <c r="J21" i="37"/>
  <c r="AC21" i="37"/>
  <c r="H21" i="37"/>
  <c r="AB21" i="37" s="1"/>
  <c r="F21" i="37"/>
  <c r="AA21" i="37" s="1"/>
  <c r="C21" i="37"/>
  <c r="Q19" i="37"/>
  <c r="Z19" i="37" s="1"/>
  <c r="J19" i="37"/>
  <c r="AC19" i="37"/>
  <c r="H19" i="37"/>
  <c r="AB19" i="37"/>
  <c r="F19" i="37"/>
  <c r="AA19" i="37"/>
  <c r="C19" i="37"/>
  <c r="Z17" i="37"/>
  <c r="Q17" i="37"/>
  <c r="J17" i="37"/>
  <c r="AC17" i="37" s="1"/>
  <c r="H17" i="37"/>
  <c r="AB17" i="37" s="1"/>
  <c r="F17" i="37"/>
  <c r="AA17" i="37" s="1"/>
  <c r="C17" i="37"/>
  <c r="Q15" i="37"/>
  <c r="Z15" i="37" s="1"/>
  <c r="J15" i="37"/>
  <c r="AC15" i="37"/>
  <c r="H15" i="37"/>
  <c r="AB15" i="37"/>
  <c r="F15" i="37"/>
  <c r="AA15" i="37" s="1"/>
  <c r="C15" i="37"/>
  <c r="Z14" i="37"/>
  <c r="Q14" i="37"/>
  <c r="J14" i="37"/>
  <c r="AC14" i="37"/>
  <c r="H14" i="37"/>
  <c r="AB14" i="37"/>
  <c r="F14" i="37"/>
  <c r="AA14" i="37" s="1"/>
  <c r="W13" i="37"/>
  <c r="Q13" i="37"/>
  <c r="Z13" i="37" s="1"/>
  <c r="J13" i="37"/>
  <c r="AC13" i="37"/>
  <c r="Q12" i="37"/>
  <c r="Z12" i="37" s="1"/>
  <c r="H12" i="37"/>
  <c r="U12" i="37" s="1"/>
  <c r="Q11" i="37"/>
  <c r="Z11" i="37"/>
  <c r="J11" i="37"/>
  <c r="AC11" i="37" s="1"/>
  <c r="H11" i="37"/>
  <c r="AB11" i="37" s="1"/>
  <c r="F11" i="37"/>
  <c r="AA11" i="37" s="1"/>
  <c r="Q10" i="37"/>
  <c r="Z10" i="37"/>
  <c r="J10" i="37"/>
  <c r="AC10" i="37" s="1"/>
  <c r="H10" i="37"/>
  <c r="AB10" i="37" s="1"/>
  <c r="F10" i="37"/>
  <c r="AA10" i="37"/>
  <c r="Q9" i="37"/>
  <c r="Z9" i="37"/>
  <c r="J9" i="37"/>
  <c r="W8" i="37"/>
  <c r="J8" i="37"/>
  <c r="AC8" i="37" s="1"/>
  <c r="H8" i="37"/>
  <c r="AB8" i="37" s="1"/>
  <c r="F8" i="37"/>
  <c r="B2" i="37"/>
  <c r="B130" i="33"/>
  <c r="B128" i="33"/>
  <c r="F45" i="33" s="1"/>
  <c r="B126" i="33"/>
  <c r="J44" i="33" s="1"/>
  <c r="D125" i="33"/>
  <c r="D123" i="33"/>
  <c r="E123" i="33" s="1"/>
  <c r="F123" i="33" s="1"/>
  <c r="G123" i="33" s="1"/>
  <c r="H123" i="33"/>
  <c r="I123" i="33" s="1"/>
  <c r="J123" i="33" s="1"/>
  <c r="K123" i="33" s="1"/>
  <c r="L123" i="33" s="1"/>
  <c r="M123" i="33" s="1"/>
  <c r="J121" i="33"/>
  <c r="K121" i="33" s="1"/>
  <c r="L121" i="33" s="1"/>
  <c r="M121" i="33" s="1"/>
  <c r="D121" i="33"/>
  <c r="E121" i="33" s="1"/>
  <c r="F121" i="33" s="1"/>
  <c r="G121" i="33" s="1"/>
  <c r="H121" i="33" s="1"/>
  <c r="I121" i="33" s="1"/>
  <c r="D117" i="33"/>
  <c r="E117" i="33" s="1"/>
  <c r="F117" i="33" s="1"/>
  <c r="G117" i="33" s="1"/>
  <c r="D115" i="33"/>
  <c r="G113" i="33"/>
  <c r="H113" i="33" s="1"/>
  <c r="I113" i="33" s="1"/>
  <c r="J113" i="33" s="1"/>
  <c r="K113" i="33" s="1"/>
  <c r="L113" i="33" s="1"/>
  <c r="M113" i="33" s="1"/>
  <c r="D113" i="33"/>
  <c r="E113" i="33" s="1"/>
  <c r="F113" i="33" s="1"/>
  <c r="D111" i="33"/>
  <c r="E111" i="33"/>
  <c r="F111" i="33"/>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8" i="33"/>
  <c r="B96" i="33"/>
  <c r="F30" i="33" s="1"/>
  <c r="AA30" i="33" s="1"/>
  <c r="J30" i="33"/>
  <c r="AC30" i="33" s="1"/>
  <c r="B94" i="33"/>
  <c r="B92" i="33"/>
  <c r="D91" i="33"/>
  <c r="J27" i="33" s="1"/>
  <c r="AC27" i="33" s="1"/>
  <c r="B90" i="33"/>
  <c r="B88" i="33"/>
  <c r="H26" i="33" s="1"/>
  <c r="AB26" i="33" s="1"/>
  <c r="D87" i="33"/>
  <c r="E87" i="33" s="1"/>
  <c r="F87" i="33" s="1"/>
  <c r="G87" i="33" s="1"/>
  <c r="H87" i="33" s="1"/>
  <c r="I87" i="33" s="1"/>
  <c r="J87" i="33" s="1"/>
  <c r="K87" i="33" s="1"/>
  <c r="L87" i="33" s="1"/>
  <c r="M87" i="33" s="1"/>
  <c r="D85" i="33"/>
  <c r="D83" i="33"/>
  <c r="E83" i="33" s="1"/>
  <c r="F83" i="33" s="1"/>
  <c r="G83" i="33" s="1"/>
  <c r="D81" i="33"/>
  <c r="B74" i="33"/>
  <c r="B72" i="33"/>
  <c r="B70" i="33"/>
  <c r="F69" i="33"/>
  <c r="G69" i="33" s="1"/>
  <c r="H69" i="33"/>
  <c r="I69" i="33"/>
  <c r="J69" i="33"/>
  <c r="K69" i="33" s="1"/>
  <c r="L69" i="33" s="1"/>
  <c r="M69" i="33" s="1"/>
  <c r="D69" i="33"/>
  <c r="E69" i="33" s="1"/>
  <c r="M67" i="33"/>
  <c r="L67" i="33"/>
  <c r="K67" i="33"/>
  <c r="J67" i="33"/>
  <c r="I67" i="33"/>
  <c r="H67" i="33"/>
  <c r="G67" i="33"/>
  <c r="F67" i="33"/>
  <c r="E67" i="33"/>
  <c r="D67" i="33"/>
  <c r="C67" i="33"/>
  <c r="C63" i="33"/>
  <c r="J9" i="33" s="1"/>
  <c r="AC9" i="33" s="1"/>
  <c r="I54" i="33"/>
  <c r="J54" i="33" s="1"/>
  <c r="G54" i="33"/>
  <c r="H54" i="33" s="1"/>
  <c r="E54" i="33"/>
  <c r="F54" i="33"/>
  <c r="P49" i="33"/>
  <c r="P48" i="33"/>
  <c r="K48" i="33"/>
  <c r="V47" i="33"/>
  <c r="P47" i="33"/>
  <c r="Q46" i="33"/>
  <c r="Z46" i="33" s="1"/>
  <c r="J46" i="33"/>
  <c r="W46" i="33"/>
  <c r="H46" i="33"/>
  <c r="AB46" i="33" s="1"/>
  <c r="F46" i="33"/>
  <c r="AA46" i="33"/>
  <c r="Q45" i="33"/>
  <c r="Z45" i="33"/>
  <c r="Q44" i="33"/>
  <c r="Z44" i="33" s="1"/>
  <c r="H44" i="33"/>
  <c r="U44" i="33" s="1"/>
  <c r="F44" i="33"/>
  <c r="S44" i="33" s="1"/>
  <c r="Q43" i="33"/>
  <c r="Z43" i="33"/>
  <c r="J43" i="33"/>
  <c r="AC43" i="33" s="1"/>
  <c r="H43" i="33"/>
  <c r="AB43" i="33"/>
  <c r="Q42" i="33"/>
  <c r="Z42" i="33"/>
  <c r="H42" i="33"/>
  <c r="AB42" i="33"/>
  <c r="AC41" i="33"/>
  <c r="AB41" i="33"/>
  <c r="U41" i="33"/>
  <c r="Q41" i="33"/>
  <c r="Z41" i="33" s="1"/>
  <c r="J41" i="33"/>
  <c r="W41" i="33" s="1"/>
  <c r="H41" i="33"/>
  <c r="F41" i="33"/>
  <c r="AA41" i="33" s="1"/>
  <c r="Q40" i="33"/>
  <c r="Z40" i="33"/>
  <c r="J40" i="33"/>
  <c r="AC40" i="33" s="1"/>
  <c r="H40" i="33"/>
  <c r="F40" i="33"/>
  <c r="AA40" i="33" s="1"/>
  <c r="Q39" i="33"/>
  <c r="Z39" i="33"/>
  <c r="J39" i="33"/>
  <c r="AC39" i="33" s="1"/>
  <c r="Q38" i="33"/>
  <c r="Z38" i="33" s="1"/>
  <c r="AB37" i="33"/>
  <c r="Q37" i="33"/>
  <c r="Z37" i="33" s="1"/>
  <c r="J37" i="33"/>
  <c r="H37" i="33"/>
  <c r="U37" i="33"/>
  <c r="F37" i="33"/>
  <c r="AA37" i="33" s="1"/>
  <c r="Q36" i="33"/>
  <c r="Z36" i="33" s="1"/>
  <c r="Q35" i="33"/>
  <c r="Z35" i="33" s="1"/>
  <c r="J35" i="33"/>
  <c r="AC35" i="33"/>
  <c r="H35" i="33"/>
  <c r="AB35" i="33" s="1"/>
  <c r="F35" i="33"/>
  <c r="AA35" i="33"/>
  <c r="Q34" i="33"/>
  <c r="Z34" i="33" s="1"/>
  <c r="J34" i="33"/>
  <c r="AC34" i="33"/>
  <c r="H34" i="33"/>
  <c r="AB34" i="33" s="1"/>
  <c r="F34" i="33"/>
  <c r="AA34" i="33"/>
  <c r="Q33" i="33"/>
  <c r="Z33" i="33" s="1"/>
  <c r="Q32" i="33"/>
  <c r="Z32" i="33" s="1"/>
  <c r="J32" i="33"/>
  <c r="AC32" i="33" s="1"/>
  <c r="H32" i="33"/>
  <c r="AB32" i="33" s="1"/>
  <c r="F32" i="33"/>
  <c r="AA32" i="33" s="1"/>
  <c r="Q31" i="33"/>
  <c r="Z31" i="33"/>
  <c r="F31" i="33"/>
  <c r="AA31" i="33" s="1"/>
  <c r="Q30" i="33"/>
  <c r="Z30" i="33" s="1"/>
  <c r="Q29" i="33"/>
  <c r="Z29" i="33" s="1"/>
  <c r="Q28" i="33"/>
  <c r="Z28" i="33" s="1"/>
  <c r="Z27" i="33"/>
  <c r="Q27" i="33"/>
  <c r="Z26" i="33"/>
  <c r="Q26" i="33"/>
  <c r="J26" i="33"/>
  <c r="F26" i="33"/>
  <c r="AA26" i="33" s="1"/>
  <c r="S26" i="33"/>
  <c r="Q25" i="33"/>
  <c r="Z25" i="33"/>
  <c r="J25" i="33"/>
  <c r="H25" i="33"/>
  <c r="F25" i="33"/>
  <c r="AA25" i="33"/>
  <c r="Q23" i="33"/>
  <c r="Z23" i="33" s="1"/>
  <c r="F23" i="33"/>
  <c r="AA23" i="33" s="1"/>
  <c r="C23" i="33"/>
  <c r="Q21" i="33"/>
  <c r="Z21" i="33" s="1"/>
  <c r="J21" i="33"/>
  <c r="AC21" i="33"/>
  <c r="H21" i="33"/>
  <c r="AB21" i="33"/>
  <c r="F21" i="33"/>
  <c r="AA21" i="33" s="1"/>
  <c r="C21" i="33"/>
  <c r="Z19" i="33"/>
  <c r="Q19" i="33"/>
  <c r="J19" i="33"/>
  <c r="AC19" i="33" s="1"/>
  <c r="C19" i="33"/>
  <c r="Z17" i="33"/>
  <c r="Q17" i="33"/>
  <c r="C17" i="33"/>
  <c r="Q15" i="33"/>
  <c r="Z15" i="33"/>
  <c r="C15" i="33"/>
  <c r="U14" i="33"/>
  <c r="Q14" i="33"/>
  <c r="Z14" i="33" s="1"/>
  <c r="J14" i="33"/>
  <c r="AC14" i="33" s="1"/>
  <c r="H14" i="33"/>
  <c r="AB14" i="33"/>
  <c r="F14" i="33"/>
  <c r="AA14" i="33" s="1"/>
  <c r="Z13" i="33"/>
  <c r="Q13" i="33"/>
  <c r="Q12" i="33"/>
  <c r="Z12" i="33" s="1"/>
  <c r="Q11" i="33"/>
  <c r="Z11" i="33" s="1"/>
  <c r="J11" i="33"/>
  <c r="AC11" i="33" s="1"/>
  <c r="H11" i="33"/>
  <c r="AB11" i="33"/>
  <c r="F11" i="33"/>
  <c r="AA11" i="33" s="1"/>
  <c r="Q10" i="33"/>
  <c r="Z10" i="33"/>
  <c r="J10" i="33"/>
  <c r="AC10" i="33" s="1"/>
  <c r="W10" i="33"/>
  <c r="H10" i="33"/>
  <c r="F10" i="33"/>
  <c r="AA10" i="33" s="1"/>
  <c r="Q9" i="33"/>
  <c r="Z9" i="33" s="1"/>
  <c r="H9" i="33"/>
  <c r="AB9" i="33" s="1"/>
  <c r="F9" i="33"/>
  <c r="AA9" i="33" s="1"/>
  <c r="J8" i="33"/>
  <c r="W8" i="33" s="1"/>
  <c r="H8" i="33"/>
  <c r="U8" i="33" s="1"/>
  <c r="F8" i="33"/>
  <c r="AA8" i="33" s="1"/>
  <c r="K145" i="21"/>
  <c r="C145" i="21"/>
  <c r="K139" i="21" s="1"/>
  <c r="J142" i="21"/>
  <c r="J140" i="21"/>
  <c r="B130" i="21"/>
  <c r="B128" i="21"/>
  <c r="J45" i="21" s="1"/>
  <c r="AC45" i="21" s="1"/>
  <c r="B126" i="21"/>
  <c r="H44" i="21" s="1"/>
  <c r="F44" i="21"/>
  <c r="D125" i="21"/>
  <c r="E125" i="21"/>
  <c r="F125" i="21"/>
  <c r="G125" i="21" s="1"/>
  <c r="F123" i="21"/>
  <c r="G123" i="21" s="1"/>
  <c r="H123" i="21" s="1"/>
  <c r="I123" i="21" s="1"/>
  <c r="J123" i="21" s="1"/>
  <c r="K123" i="21" s="1"/>
  <c r="L123" i="21" s="1"/>
  <c r="M123" i="21" s="1"/>
  <c r="D123" i="21"/>
  <c r="E123" i="21" s="1"/>
  <c r="F119" i="21"/>
  <c r="G119" i="21" s="1"/>
  <c r="H119" i="21" s="1"/>
  <c r="I119" i="21" s="1"/>
  <c r="J119" i="21" s="1"/>
  <c r="K119" i="21" s="1"/>
  <c r="L119" i="21" s="1"/>
  <c r="M119" i="21" s="1"/>
  <c r="D119" i="21"/>
  <c r="E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H110" i="21"/>
  <c r="I110" i="21" s="1"/>
  <c r="J110" i="21" s="1"/>
  <c r="K110" i="21" s="1"/>
  <c r="L110" i="21" s="1"/>
  <c r="M110" i="21" s="1"/>
  <c r="E110" i="21"/>
  <c r="F110" i="21" s="1"/>
  <c r="G110" i="21" s="1"/>
  <c r="D110" i="21"/>
  <c r="G108" i="21"/>
  <c r="H108" i="21" s="1"/>
  <c r="I108" i="21" s="1"/>
  <c r="J108" i="21" s="1"/>
  <c r="K108" i="21" s="1"/>
  <c r="L108" i="21" s="1"/>
  <c r="M108" i="21" s="1"/>
  <c r="E108" i="21"/>
  <c r="F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c r="H101" i="21" s="1"/>
  <c r="I101" i="21" s="1"/>
  <c r="J101" i="21" s="1"/>
  <c r="K101" i="21" s="1"/>
  <c r="L101" i="21" s="1"/>
  <c r="M101" i="21" s="1"/>
  <c r="D101" i="21"/>
  <c r="E101" i="21" s="1"/>
  <c r="B98" i="21"/>
  <c r="H31" i="21" s="1"/>
  <c r="U31" i="21" s="1"/>
  <c r="B96" i="21"/>
  <c r="B94" i="21"/>
  <c r="B92" i="21"/>
  <c r="B90" i="21"/>
  <c r="G89" i="21"/>
  <c r="H89" i="21" s="1"/>
  <c r="I89" i="21" s="1"/>
  <c r="J89" i="21" s="1"/>
  <c r="K89" i="21" s="1"/>
  <c r="L89" i="21" s="1"/>
  <c r="M89" i="21"/>
  <c r="E89" i="21"/>
  <c r="F89" i="21" s="1"/>
  <c r="D89" i="21"/>
  <c r="M87" i="21"/>
  <c r="L87" i="21"/>
  <c r="K87" i="21"/>
  <c r="J87" i="21"/>
  <c r="I87" i="21"/>
  <c r="H87" i="21"/>
  <c r="G87" i="21"/>
  <c r="F87" i="21"/>
  <c r="E87" i="21"/>
  <c r="D87" i="21"/>
  <c r="G85" i="21"/>
  <c r="D85" i="21"/>
  <c r="E85" i="21" s="1"/>
  <c r="F85" i="21" s="1"/>
  <c r="D83" i="21"/>
  <c r="E83" i="21" s="1"/>
  <c r="F83" i="21" s="1"/>
  <c r="G83" i="21" s="1"/>
  <c r="E81" i="21"/>
  <c r="F81" i="21"/>
  <c r="G81" i="21" s="1"/>
  <c r="D81" i="21"/>
  <c r="D79" i="21"/>
  <c r="E79" i="21" s="1"/>
  <c r="F79" i="21" s="1"/>
  <c r="G79" i="21" s="1"/>
  <c r="E77" i="21"/>
  <c r="F77" i="21" s="1"/>
  <c r="G77" i="21" s="1"/>
  <c r="D77" i="21"/>
  <c r="B74" i="21"/>
  <c r="B72" i="21"/>
  <c r="H13" i="21" s="1"/>
  <c r="B70" i="21"/>
  <c r="F12" i="21" s="1"/>
  <c r="AA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AC43" i="21"/>
  <c r="H43" i="21"/>
  <c r="AB43" i="21" s="1"/>
  <c r="U43" i="21"/>
  <c r="F43" i="21"/>
  <c r="AA43" i="21" s="1"/>
  <c r="Q42" i="21"/>
  <c r="Z42" i="21" s="1"/>
  <c r="J42" i="21"/>
  <c r="AC42" i="21"/>
  <c r="H42" i="21"/>
  <c r="AB42" i="21" s="1"/>
  <c r="F42" i="21"/>
  <c r="AA42" i="21" s="1"/>
  <c r="S42" i="21"/>
  <c r="Q41" i="21"/>
  <c r="Z41" i="21" s="1"/>
  <c r="J41" i="21"/>
  <c r="H41" i="21"/>
  <c r="AB41" i="21"/>
  <c r="F41" i="21"/>
  <c r="AA41" i="21"/>
  <c r="Q40" i="21"/>
  <c r="Z40" i="21" s="1"/>
  <c r="J40" i="21"/>
  <c r="H40" i="21"/>
  <c r="AB40" i="21" s="1"/>
  <c r="F40" i="21"/>
  <c r="AA40" i="21" s="1"/>
  <c r="Q39" i="21"/>
  <c r="Z39" i="21" s="1"/>
  <c r="J39" i="21"/>
  <c r="AC39" i="21" s="1"/>
  <c r="H39" i="21"/>
  <c r="U39" i="21" s="1"/>
  <c r="F39" i="21"/>
  <c r="AA39" i="21" s="1"/>
  <c r="S39" i="21"/>
  <c r="Z38" i="21"/>
  <c r="Q38" i="21"/>
  <c r="J38" i="21"/>
  <c r="AC38" i="21" s="1"/>
  <c r="H38" i="21"/>
  <c r="AB38" i="21"/>
  <c r="F38" i="21"/>
  <c r="S38" i="21" s="1"/>
  <c r="W37" i="21"/>
  <c r="Q37" i="21"/>
  <c r="Z37" i="21" s="1"/>
  <c r="J37" i="21"/>
  <c r="AC37" i="21"/>
  <c r="H37" i="21"/>
  <c r="AB37" i="21" s="1"/>
  <c r="F37" i="21"/>
  <c r="AA37" i="21"/>
  <c r="Q36" i="21"/>
  <c r="Z36" i="21"/>
  <c r="J36" i="21"/>
  <c r="H36" i="21"/>
  <c r="U36" i="21" s="1"/>
  <c r="F36" i="21"/>
  <c r="AA36" i="21" s="1"/>
  <c r="Q35" i="21"/>
  <c r="Z35" i="21"/>
  <c r="J35" i="21"/>
  <c r="AC35" i="21" s="1"/>
  <c r="H35" i="21"/>
  <c r="AB35" i="21" s="1"/>
  <c r="U35" i="21"/>
  <c r="F35" i="21"/>
  <c r="AA35" i="21"/>
  <c r="AA34" i="21"/>
  <c r="Q34" i="21"/>
  <c r="Z34" i="21" s="1"/>
  <c r="J34" i="21"/>
  <c r="AC34" i="21"/>
  <c r="H34" i="21"/>
  <c r="AB34" i="21"/>
  <c r="F34" i="21"/>
  <c r="S34" i="21"/>
  <c r="Z33" i="21"/>
  <c r="Q33" i="21"/>
  <c r="J33" i="21"/>
  <c r="H33" i="21"/>
  <c r="AB33" i="21" s="1"/>
  <c r="F33" i="21"/>
  <c r="AA33" i="21"/>
  <c r="Q32" i="21"/>
  <c r="Z32" i="21"/>
  <c r="J32" i="21"/>
  <c r="H32" i="21"/>
  <c r="AB32" i="21" s="1"/>
  <c r="U32" i="21"/>
  <c r="F32" i="21"/>
  <c r="AA32" i="21"/>
  <c r="Q31" i="21"/>
  <c r="Z31" i="21"/>
  <c r="J31" i="21"/>
  <c r="AC31" i="21"/>
  <c r="Z30" i="21"/>
  <c r="S30" i="21"/>
  <c r="Q30" i="21"/>
  <c r="F30" i="21"/>
  <c r="AA30" i="21" s="1"/>
  <c r="AC29" i="21"/>
  <c r="Q29" i="21"/>
  <c r="Z29" i="21" s="1"/>
  <c r="J29" i="21"/>
  <c r="W29" i="21"/>
  <c r="Q28" i="21"/>
  <c r="Z28" i="21" s="1"/>
  <c r="Q27" i="21"/>
  <c r="Z27" i="21"/>
  <c r="Q26" i="21"/>
  <c r="Z26" i="21" s="1"/>
  <c r="J26" i="21"/>
  <c r="AC26" i="21"/>
  <c r="H26" i="21"/>
  <c r="AB26" i="21"/>
  <c r="F26" i="21"/>
  <c r="S26" i="21" s="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s="1"/>
  <c r="J19" i="21"/>
  <c r="AC19" i="21" s="1"/>
  <c r="H19" i="21"/>
  <c r="AB19" i="21" s="1"/>
  <c r="F19" i="21"/>
  <c r="AA19" i="21" s="1"/>
  <c r="C19" i="21"/>
  <c r="AC17" i="21"/>
  <c r="W17" i="21"/>
  <c r="Q17" i="21"/>
  <c r="Z17" i="21"/>
  <c r="J17" i="21"/>
  <c r="H17" i="21"/>
  <c r="F17" i="21"/>
  <c r="AA17" i="21" s="1"/>
  <c r="C17" i="21"/>
  <c r="Q15" i="21"/>
  <c r="Z15" i="21"/>
  <c r="J15" i="21"/>
  <c r="H15" i="21"/>
  <c r="F15" i="21"/>
  <c r="AA15" i="21" s="1"/>
  <c r="C15" i="21"/>
  <c r="AB14" i="21"/>
  <c r="Q14" i="21"/>
  <c r="Z14" i="21" s="1"/>
  <c r="H14" i="21"/>
  <c r="U14" i="21"/>
  <c r="AB13" i="21"/>
  <c r="Q13" i="21"/>
  <c r="Z13" i="21" s="1"/>
  <c r="U13" i="21"/>
  <c r="F13" i="21"/>
  <c r="Z12" i="21"/>
  <c r="Q12" i="21"/>
  <c r="Q11" i="21"/>
  <c r="Z11" i="21" s="1"/>
  <c r="J11" i="21"/>
  <c r="AC11" i="21" s="1"/>
  <c r="H11" i="21"/>
  <c r="AB11" i="21" s="1"/>
  <c r="F11" i="21"/>
  <c r="AA11" i="21" s="1"/>
  <c r="AC10" i="21"/>
  <c r="AB10" i="21"/>
  <c r="Q10" i="21"/>
  <c r="Z10" i="21" s="1"/>
  <c r="J10" i="21"/>
  <c r="W10" i="21"/>
  <c r="H10" i="21"/>
  <c r="U10" i="21" s="1"/>
  <c r="F10" i="21"/>
  <c r="AA10" i="21" s="1"/>
  <c r="Q9" i="21"/>
  <c r="Z9" i="21"/>
  <c r="J8" i="21"/>
  <c r="W8" i="21" s="1"/>
  <c r="AC8" i="21"/>
  <c r="H8" i="21"/>
  <c r="F8" i="21"/>
  <c r="AA8" i="21" s="1"/>
  <c r="S8" i="21"/>
  <c r="B2" i="21"/>
  <c r="A13" i="70"/>
  <c r="E13" i="70" s="1"/>
  <c r="E12" i="70"/>
  <c r="A12" i="70"/>
  <c r="E11" i="70"/>
  <c r="A11" i="70"/>
  <c r="A10" i="70"/>
  <c r="E10" i="70" s="1"/>
  <c r="E9" i="70"/>
  <c r="A9" i="70"/>
  <c r="E8" i="70"/>
  <c r="A8" i="70"/>
  <c r="A7" i="70"/>
  <c r="E7" i="70" s="1"/>
  <c r="A6" i="70"/>
  <c r="R43" i="77"/>
  <c r="R41" i="77"/>
  <c r="R40" i="77"/>
  <c r="F36" i="77"/>
  <c r="R34" i="77"/>
  <c r="R33" i="77"/>
  <c r="C30" i="77"/>
  <c r="R27" i="77"/>
  <c r="M24" i="77"/>
  <c r="R23" i="77"/>
  <c r="C23" i="77"/>
  <c r="R22" i="77"/>
  <c r="R24" i="77" s="1"/>
  <c r="R21" i="77"/>
  <c r="N19" i="77"/>
  <c r="R18" i="77"/>
  <c r="D18" i="77"/>
  <c r="R17" i="77"/>
  <c r="D17" i="77"/>
  <c r="R16" i="77"/>
  <c r="D16" i="77"/>
  <c r="D15" i="77"/>
  <c r="M14" i="77"/>
  <c r="N14" i="77" s="1"/>
  <c r="D14" i="77"/>
  <c r="R13" i="77"/>
  <c r="R12" i="77"/>
  <c r="D12" i="77"/>
  <c r="D11" i="77" s="1"/>
  <c r="R11" i="77"/>
  <c r="E11" i="77"/>
  <c r="E7" i="77" s="1"/>
  <c r="C27" i="77" s="1"/>
  <c r="R10" i="77"/>
  <c r="D10" i="77"/>
  <c r="R9" i="77"/>
  <c r="D9" i="77"/>
  <c r="R8" i="77"/>
  <c r="R7" i="77"/>
  <c r="R14" i="77" s="1"/>
  <c r="R4" i="77"/>
  <c r="R3" i="77"/>
  <c r="P74" i="67"/>
  <c r="Q72" i="67"/>
  <c r="P61" i="67"/>
  <c r="Q59" i="67"/>
  <c r="K59" i="67"/>
  <c r="Q58" i="67"/>
  <c r="Q51" i="67"/>
  <c r="J50" i="67"/>
  <c r="D46" i="67"/>
  <c r="F33" i="67"/>
  <c r="F61" i="67" s="1"/>
  <c r="F23" i="67"/>
  <c r="D24" i="67"/>
  <c r="F21" i="67"/>
  <c r="M20" i="67"/>
  <c r="F20" i="67"/>
  <c r="M19" i="67"/>
  <c r="F18" i="67"/>
  <c r="F17" i="67"/>
  <c r="F15" i="67"/>
  <c r="B131" i="34"/>
  <c r="H47" i="34" s="1"/>
  <c r="AB47" i="34" s="1"/>
  <c r="B129" i="34"/>
  <c r="H46" i="34" s="1"/>
  <c r="J46" i="34"/>
  <c r="B127" i="34"/>
  <c r="E126" i="34"/>
  <c r="F126" i="34" s="1"/>
  <c r="G126" i="34" s="1"/>
  <c r="D126" i="34"/>
  <c r="D124" i="34"/>
  <c r="E124" i="34" s="1"/>
  <c r="D120" i="34"/>
  <c r="E120" i="34" s="1"/>
  <c r="F120" i="34" s="1"/>
  <c r="G120" i="34" s="1"/>
  <c r="H120" i="34" s="1"/>
  <c r="I120" i="34" s="1"/>
  <c r="J120" i="34" s="1"/>
  <c r="K120" i="34" s="1"/>
  <c r="L120" i="34" s="1"/>
  <c r="M120" i="34" s="1"/>
  <c r="D118" i="34"/>
  <c r="E118" i="34"/>
  <c r="F118" i="34" s="1"/>
  <c r="G118" i="34" s="1"/>
  <c r="H116" i="34"/>
  <c r="I116" i="34" s="1"/>
  <c r="J116" i="34" s="1"/>
  <c r="K116" i="34" s="1"/>
  <c r="L116" i="34" s="1"/>
  <c r="M116" i="34" s="1"/>
  <c r="F116" i="34"/>
  <c r="G116" i="34" s="1"/>
  <c r="E116" i="34"/>
  <c r="D116" i="34"/>
  <c r="D114" i="34"/>
  <c r="E114" i="34"/>
  <c r="F114" i="34" s="1"/>
  <c r="G114" i="34" s="1"/>
  <c r="H114" i="34" s="1"/>
  <c r="I114" i="34" s="1"/>
  <c r="J114" i="34" s="1"/>
  <c r="K114" i="34" s="1"/>
  <c r="L114" i="34" s="1"/>
  <c r="M114" i="34" s="1"/>
  <c r="J112" i="34"/>
  <c r="K112" i="34" s="1"/>
  <c r="L112" i="34" s="1"/>
  <c r="M112" i="34" s="1"/>
  <c r="E112" i="34"/>
  <c r="F112" i="34" s="1"/>
  <c r="G112" i="34" s="1"/>
  <c r="H112" i="34" s="1"/>
  <c r="I112" i="34" s="1"/>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c r="L107" i="34" s="1"/>
  <c r="M107" i="34" s="1"/>
  <c r="M103" i="34"/>
  <c r="L103" i="34"/>
  <c r="K103" i="34"/>
  <c r="J103" i="34"/>
  <c r="I103" i="34"/>
  <c r="H103" i="34"/>
  <c r="G103" i="34"/>
  <c r="F103" i="34"/>
  <c r="E103" i="34"/>
  <c r="D103" i="34"/>
  <c r="C103" i="34"/>
  <c r="L102" i="34"/>
  <c r="M102" i="34" s="1"/>
  <c r="F102" i="34"/>
  <c r="G102" i="34" s="1"/>
  <c r="H102" i="34" s="1"/>
  <c r="I102" i="34" s="1"/>
  <c r="J102" i="34" s="1"/>
  <c r="K102" i="34" s="1"/>
  <c r="D102" i="34"/>
  <c r="E102" i="34" s="1"/>
  <c r="B99" i="34"/>
  <c r="B97" i="34"/>
  <c r="B95" i="34"/>
  <c r="H30" i="34" s="1"/>
  <c r="AB30" i="34" s="1"/>
  <c r="F30" i="34"/>
  <c r="B93" i="34"/>
  <c r="H29" i="34" s="1"/>
  <c r="U29" i="34" s="1"/>
  <c r="L92" i="34"/>
  <c r="M92" i="34" s="1"/>
  <c r="F92" i="34"/>
  <c r="G92" i="34" s="1"/>
  <c r="H92" i="34" s="1"/>
  <c r="I92" i="34" s="1"/>
  <c r="J92" i="34" s="1"/>
  <c r="K92" i="34" s="1"/>
  <c r="D92" i="34"/>
  <c r="E92" i="34" s="1"/>
  <c r="B91" i="34"/>
  <c r="D90" i="34"/>
  <c r="B89" i="34"/>
  <c r="D88" i="34"/>
  <c r="E88" i="34" s="1"/>
  <c r="F88" i="34" s="1"/>
  <c r="G88" i="34" s="1"/>
  <c r="H88" i="34" s="1"/>
  <c r="I88" i="34" s="1"/>
  <c r="J88" i="34" s="1"/>
  <c r="K88" i="34" s="1"/>
  <c r="L88" i="34" s="1"/>
  <c r="M88" i="34" s="1"/>
  <c r="D86" i="34"/>
  <c r="E84" i="34"/>
  <c r="F84" i="34" s="1"/>
  <c r="G84" i="34" s="1"/>
  <c r="D84" i="34"/>
  <c r="E82" i="34"/>
  <c r="F82" i="34" s="1"/>
  <c r="G82" i="34" s="1"/>
  <c r="D82" i="34"/>
  <c r="D80" i="34"/>
  <c r="J17" i="34" s="1"/>
  <c r="D78" i="34"/>
  <c r="B75" i="34"/>
  <c r="H14" i="34" s="1"/>
  <c r="U14" i="34" s="1"/>
  <c r="B73" i="34"/>
  <c r="H13" i="34" s="1"/>
  <c r="B71" i="34"/>
  <c r="H12" i="34"/>
  <c r="F70" i="34"/>
  <c r="G70" i="34"/>
  <c r="H70" i="34" s="1"/>
  <c r="I70" i="34" s="1"/>
  <c r="J70" i="34" s="1"/>
  <c r="K70" i="34" s="1"/>
  <c r="L70" i="34" s="1"/>
  <c r="M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F47" i="34"/>
  <c r="AA47" i="34" s="1"/>
  <c r="AB46" i="34"/>
  <c r="U46" i="34"/>
  <c r="Q46" i="34"/>
  <c r="Z46" i="34" s="1"/>
  <c r="F46" i="34"/>
  <c r="Q45" i="34"/>
  <c r="Z45" i="34"/>
  <c r="Q44" i="34"/>
  <c r="Z44" i="34"/>
  <c r="Q43" i="34"/>
  <c r="Z43" i="34"/>
  <c r="AA42" i="34"/>
  <c r="Q42" i="34"/>
  <c r="Z42" i="34" s="1"/>
  <c r="J42" i="34"/>
  <c r="AC42" i="34"/>
  <c r="H42" i="34"/>
  <c r="U42" i="34" s="1"/>
  <c r="F42" i="34"/>
  <c r="S42" i="34"/>
  <c r="Q41" i="34"/>
  <c r="Z41" i="34"/>
  <c r="J41" i="34"/>
  <c r="H41" i="34"/>
  <c r="AB41" i="34" s="1"/>
  <c r="F41" i="34"/>
  <c r="AA41" i="34"/>
  <c r="AC40" i="34"/>
  <c r="Q40" i="34"/>
  <c r="Z40" i="34" s="1"/>
  <c r="J40" i="34"/>
  <c r="W40" i="34" s="1"/>
  <c r="H40" i="34"/>
  <c r="F40" i="34"/>
  <c r="AA40" i="34" s="1"/>
  <c r="Q39" i="34"/>
  <c r="Z39" i="34"/>
  <c r="J39" i="34"/>
  <c r="W39" i="34" s="1"/>
  <c r="H39" i="34"/>
  <c r="U39" i="34"/>
  <c r="F39" i="34"/>
  <c r="AA39" i="34" s="1"/>
  <c r="Q38" i="34"/>
  <c r="Z38" i="34" s="1"/>
  <c r="J38" i="34"/>
  <c r="AC38" i="34" s="1"/>
  <c r="H38" i="34"/>
  <c r="F38" i="34"/>
  <c r="AA38" i="34" s="1"/>
  <c r="Q37" i="34"/>
  <c r="Z37" i="34" s="1"/>
  <c r="AB36" i="34"/>
  <c r="Q36" i="34"/>
  <c r="Z36" i="34"/>
  <c r="J36" i="34"/>
  <c r="W36" i="34" s="1"/>
  <c r="H36" i="34"/>
  <c r="U36" i="34"/>
  <c r="F36" i="34"/>
  <c r="AA36" i="34"/>
  <c r="Q35" i="34"/>
  <c r="Z35" i="34" s="1"/>
  <c r="J35" i="34"/>
  <c r="AC35" i="34"/>
  <c r="H35" i="34"/>
  <c r="F35" i="34"/>
  <c r="S35" i="34" s="1"/>
  <c r="Z34" i="34"/>
  <c r="Q34" i="34"/>
  <c r="Q33" i="34"/>
  <c r="Z33" i="34"/>
  <c r="J33" i="34"/>
  <c r="AC33" i="34" s="1"/>
  <c r="H33" i="34"/>
  <c r="U33" i="34" s="1"/>
  <c r="AB33" i="34"/>
  <c r="F33" i="34"/>
  <c r="S33" i="34" s="1"/>
  <c r="Q32" i="34"/>
  <c r="Z32" i="34" s="1"/>
  <c r="H32" i="34"/>
  <c r="Q31" i="34"/>
  <c r="Z31" i="34" s="1"/>
  <c r="J31" i="34"/>
  <c r="H31" i="34"/>
  <c r="AB31" i="34"/>
  <c r="F31" i="34"/>
  <c r="S31" i="34" s="1"/>
  <c r="Q30" i="34"/>
  <c r="Z30" i="34"/>
  <c r="J30" i="34"/>
  <c r="W30" i="34" s="1"/>
  <c r="U30" i="34"/>
  <c r="AB29" i="34"/>
  <c r="Q29" i="34"/>
  <c r="Z29" i="34" s="1"/>
  <c r="F29" i="34"/>
  <c r="AA29" i="34" s="1"/>
  <c r="Q28" i="34"/>
  <c r="Z28" i="34" s="1"/>
  <c r="Q27" i="34"/>
  <c r="Z27" i="34"/>
  <c r="AC25" i="34"/>
  <c r="W25" i="34"/>
  <c r="Q25" i="34"/>
  <c r="Z25" i="34" s="1"/>
  <c r="J25" i="34"/>
  <c r="H25" i="34"/>
  <c r="F25" i="34"/>
  <c r="AA25" i="34" s="1"/>
  <c r="Q23" i="34"/>
  <c r="Z23" i="34" s="1"/>
  <c r="C23" i="34"/>
  <c r="Q21" i="34"/>
  <c r="Z21" i="34"/>
  <c r="J21" i="34"/>
  <c r="AC21" i="34"/>
  <c r="H21" i="34"/>
  <c r="U21" i="34" s="1"/>
  <c r="F21" i="34"/>
  <c r="S21" i="34"/>
  <c r="C21" i="34"/>
  <c r="AC19" i="34"/>
  <c r="Q19" i="34"/>
  <c r="Z19" i="34"/>
  <c r="J19" i="34"/>
  <c r="W19" i="34"/>
  <c r="H19" i="34"/>
  <c r="AB19" i="34" s="1"/>
  <c r="F19" i="34"/>
  <c r="S19" i="34" s="1"/>
  <c r="C19" i="34"/>
  <c r="Q17" i="34"/>
  <c r="Z17" i="34"/>
  <c r="C17" i="34"/>
  <c r="Q15" i="34"/>
  <c r="Z15" i="34" s="1"/>
  <c r="C15" i="34"/>
  <c r="W14" i="34"/>
  <c r="Q14" i="34"/>
  <c r="Z14" i="34" s="1"/>
  <c r="J14" i="34"/>
  <c r="AC14" i="34" s="1"/>
  <c r="Q13" i="34"/>
  <c r="Z13" i="34" s="1"/>
  <c r="J13" i="34"/>
  <c r="AC13" i="34" s="1"/>
  <c r="U13" i="34"/>
  <c r="F13" i="34"/>
  <c r="AA13" i="34" s="1"/>
  <c r="S13" i="34"/>
  <c r="AC12" i="34"/>
  <c r="AA12" i="34"/>
  <c r="S12" i="34"/>
  <c r="Q12" i="34"/>
  <c r="Z12" i="34"/>
  <c r="J12" i="34"/>
  <c r="W12" i="34" s="1"/>
  <c r="F12" i="34"/>
  <c r="AB11" i="34"/>
  <c r="U11" i="34"/>
  <c r="Q11" i="34"/>
  <c r="Z11" i="34" s="1"/>
  <c r="J11" i="34"/>
  <c r="H11" i="34"/>
  <c r="F11" i="34"/>
  <c r="AA11" i="34"/>
  <c r="Q10" i="34"/>
  <c r="Z10" i="34" s="1"/>
  <c r="J10" i="34"/>
  <c r="AC10" i="34"/>
  <c r="H10" i="34"/>
  <c r="U10" i="34" s="1"/>
  <c r="F10" i="34"/>
  <c r="S10" i="34" s="1"/>
  <c r="Q9" i="34"/>
  <c r="Z9" i="34" s="1"/>
  <c r="H9" i="34"/>
  <c r="U9" i="34"/>
  <c r="F9" i="34"/>
  <c r="S9" i="34" s="1"/>
  <c r="J8" i="34"/>
  <c r="AC8" i="34" s="1"/>
  <c r="H8" i="34"/>
  <c r="AB8" i="34" s="1"/>
  <c r="F8" i="34"/>
  <c r="S8" i="34" s="1"/>
  <c r="Q72" i="15"/>
  <c r="P61" i="15"/>
  <c r="Q59" i="15"/>
  <c r="K59" i="15"/>
  <c r="P74" i="15" s="1"/>
  <c r="Q58" i="15"/>
  <c r="Q51" i="15"/>
  <c r="J51" i="15"/>
  <c r="J50" i="15"/>
  <c r="M47" i="15"/>
  <c r="D46" i="15"/>
  <c r="F33" i="15"/>
  <c r="F61" i="15" s="1"/>
  <c r="F23" i="15"/>
  <c r="D23" i="15" s="1"/>
  <c r="D22"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H1" i="69"/>
  <c r="F38" i="68"/>
  <c r="E37" i="68"/>
  <c r="F36" i="68"/>
  <c r="F35" i="68"/>
  <c r="F21" i="68"/>
  <c r="F20" i="68"/>
  <c r="F39" i="68"/>
  <c r="E10" i="68"/>
  <c r="E9" i="68"/>
  <c r="F7" i="68"/>
  <c r="C7" i="68" s="1"/>
  <c r="A122" i="9"/>
  <c r="A120" i="9"/>
  <c r="H112" i="9"/>
  <c r="E111" i="9"/>
  <c r="H111" i="9"/>
  <c r="D126" i="9" s="1"/>
  <c r="D12" i="52" s="1"/>
  <c r="H109" i="9"/>
  <c r="E109" i="9"/>
  <c r="A124" i="9" s="1"/>
  <c r="E107" i="9"/>
  <c r="H106" i="9"/>
  <c r="H105" i="9"/>
  <c r="H103" i="9"/>
  <c r="D120" i="9"/>
  <c r="H104" i="9"/>
  <c r="D101" i="9"/>
  <c r="C101" i="9"/>
  <c r="C91" i="9"/>
  <c r="E90" i="9"/>
  <c r="D89" i="9"/>
  <c r="C89" i="9" s="1"/>
  <c r="C87" i="9" s="1"/>
  <c r="C92" i="9" s="1"/>
  <c r="H77" i="9"/>
  <c r="D77" i="9"/>
  <c r="C76" i="9"/>
  <c r="F59" i="9"/>
  <c r="O55" i="9" s="1"/>
  <c r="E59" i="9"/>
  <c r="N55" i="9" s="1"/>
  <c r="F56" i="9"/>
  <c r="O54" i="9" s="1"/>
  <c r="K55" i="9"/>
  <c r="J55" i="9"/>
  <c r="I55" i="9"/>
  <c r="F55"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C24" i="20"/>
  <c r="C22" i="20"/>
  <c r="C21" i="20"/>
  <c r="C27" i="39"/>
  <c r="G20" i="20"/>
  <c r="B88" i="43"/>
  <c r="C20" i="20"/>
  <c r="G19" i="20"/>
  <c r="G18" i="20"/>
  <c r="B90" i="43"/>
  <c r="C18" i="20"/>
  <c r="C17" i="20"/>
  <c r="G16" i="20"/>
  <c r="C16" i="20"/>
  <c r="C17" i="39" s="1"/>
  <c r="G15" i="20"/>
  <c r="C15" i="20"/>
  <c r="D78" i="9"/>
  <c r="B31" i="1"/>
  <c r="B24" i="1"/>
  <c r="B23" i="1"/>
  <c r="G41" i="69"/>
  <c r="O19" i="1"/>
  <c r="P14" i="1"/>
  <c r="O14" i="1"/>
  <c r="AG13" i="1"/>
  <c r="AE13" i="1"/>
  <c r="P13" i="1"/>
  <c r="O13" i="1"/>
  <c r="F13" i="1"/>
  <c r="D13" i="1"/>
  <c r="A13" i="1"/>
  <c r="B13" i="1"/>
  <c r="E13" i="1"/>
  <c r="AG12" i="1"/>
  <c r="AE12" i="1"/>
  <c r="P12" i="1"/>
  <c r="O12" i="1"/>
  <c r="F12" i="1"/>
  <c r="D12" i="1"/>
  <c r="A12" i="1"/>
  <c r="R12" i="1"/>
  <c r="AG11" i="1"/>
  <c r="AE11" i="1"/>
  <c r="P11" i="1"/>
  <c r="O11" i="1"/>
  <c r="F11" i="1"/>
  <c r="D11" i="1"/>
  <c r="A11" i="1"/>
  <c r="K11" i="1" s="1"/>
  <c r="AG10" i="1"/>
  <c r="AE10" i="1"/>
  <c r="S10" i="1"/>
  <c r="AR10" i="1" s="1"/>
  <c r="P10" i="1"/>
  <c r="O10" i="1"/>
  <c r="F10" i="1"/>
  <c r="D10" i="1"/>
  <c r="B10" i="1"/>
  <c r="E10" i="1" s="1"/>
  <c r="A10" i="1"/>
  <c r="K10" i="1" s="1"/>
  <c r="M10" i="1" s="1"/>
  <c r="AG9" i="1"/>
  <c r="AE9" i="1"/>
  <c r="R9" i="1"/>
  <c r="P9" i="1"/>
  <c r="O9" i="1"/>
  <c r="F9" i="1"/>
  <c r="D9" i="1"/>
  <c r="A9" i="1"/>
  <c r="S9" i="1"/>
  <c r="AR9" i="1" s="1"/>
  <c r="AG8" i="1"/>
  <c r="AE8" i="1"/>
  <c r="S8" i="1"/>
  <c r="AR8" i="1" s="1"/>
  <c r="P8" i="1"/>
  <c r="O8" i="1"/>
  <c r="M8" i="1"/>
  <c r="F8" i="1"/>
  <c r="D8" i="1"/>
  <c r="A8" i="1"/>
  <c r="K8" i="1" s="1"/>
  <c r="R8" i="1"/>
  <c r="AG7" i="1"/>
  <c r="AE7" i="1"/>
  <c r="P7" i="1"/>
  <c r="O7" i="1"/>
  <c r="F7" i="1"/>
  <c r="D7" i="1"/>
  <c r="A7" i="1"/>
  <c r="K7" i="1" s="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A586" i="3" s="1"/>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L579" i="3" s="1"/>
  <c r="BP579" i="3"/>
  <c r="BO579" i="3"/>
  <c r="BN579" i="3"/>
  <c r="BM579" i="3"/>
  <c r="BK579" i="3"/>
  <c r="BJ579" i="3"/>
  <c r="BI579" i="3"/>
  <c r="BH579" i="3"/>
  <c r="BG579" i="3"/>
  <c r="BF579" i="3"/>
  <c r="BE579" i="3"/>
  <c r="BA579" i="3" s="1"/>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L577" i="3" s="1"/>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A570" i="3"/>
  <c r="AZ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A564" i="3" s="1"/>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s="1"/>
  <c r="BK563" i="3"/>
  <c r="BJ563" i="3"/>
  <c r="BI563" i="3"/>
  <c r="BH563" i="3"/>
  <c r="BA563" i="3" s="1"/>
  <c r="AZ563" i="3" s="1"/>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L558" i="3"/>
  <c r="BN558" i="3"/>
  <c r="BM558" i="3"/>
  <c r="BK558" i="3"/>
  <c r="BJ558" i="3"/>
  <c r="BI558" i="3"/>
  <c r="BH558" i="3"/>
  <c r="BG558" i="3"/>
  <c r="BF558" i="3"/>
  <c r="BE558" i="3"/>
  <c r="BD558" i="3"/>
  <c r="BC558" i="3"/>
  <c r="BA558" i="3"/>
  <c r="AZ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K551" i="3"/>
  <c r="BJ551" i="3"/>
  <c r="BI551" i="3"/>
  <c r="BH551" i="3"/>
  <c r="BG551" i="3"/>
  <c r="BF551" i="3"/>
  <c r="BE551" i="3"/>
  <c r="BD551" i="3"/>
  <c r="BA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A545" i="3" s="1"/>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L535" i="3" s="1"/>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L522" i="3" s="1"/>
  <c r="AZ522" i="3" s="1"/>
  <c r="BM522" i="3"/>
  <c r="BK522" i="3"/>
  <c r="BJ522" i="3"/>
  <c r="BI522" i="3"/>
  <c r="BH522" i="3"/>
  <c r="BG522" i="3"/>
  <c r="BF522" i="3"/>
  <c r="BE522" i="3"/>
  <c r="BD522" i="3"/>
  <c r="BC522" i="3"/>
  <c r="BA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L510" i="3" s="1"/>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L504" i="3" s="1"/>
  <c r="BO504" i="3"/>
  <c r="BN504" i="3"/>
  <c r="BM504" i="3"/>
  <c r="BK504" i="3"/>
  <c r="BJ504" i="3"/>
  <c r="BI504" i="3"/>
  <c r="BH504" i="3"/>
  <c r="BG504" i="3"/>
  <c r="BF504" i="3"/>
  <c r="BE504" i="3"/>
  <c r="BD504" i="3"/>
  <c r="BC504" i="3"/>
  <c r="BB504" i="3"/>
  <c r="BA504" i="3" s="1"/>
  <c r="AZ504" i="3" s="1"/>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G503" i="3" s="1"/>
  <c r="H503" i="3"/>
  <c r="BT502" i="3"/>
  <c r="BS502" i="3"/>
  <c r="BR502" i="3"/>
  <c r="BQ502" i="3"/>
  <c r="BP502" i="3"/>
  <c r="BO502" i="3"/>
  <c r="BN502" i="3"/>
  <c r="BM502" i="3"/>
  <c r="BL502" i="3" s="1"/>
  <c r="AZ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A496" i="3"/>
  <c r="AZ496" i="3" s="1"/>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c r="AZ493" i="3" s="1"/>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A483" i="3" s="1"/>
  <c r="BJ483" i="3"/>
  <c r="BI483" i="3"/>
  <c r="BH483" i="3"/>
  <c r="BG483" i="3"/>
  <c r="BF483" i="3"/>
  <c r="BE483" i="3"/>
  <c r="BD483" i="3"/>
  <c r="BC483" i="3"/>
  <c r="BB483" i="3"/>
  <c r="AX483" i="3"/>
  <c r="AW483" i="3"/>
  <c r="AV483" i="3"/>
  <c r="AC483" i="3"/>
  <c r="H483" i="3"/>
  <c r="G483" i="3" s="1"/>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L478" i="3"/>
  <c r="BM478" i="3"/>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c r="BM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L454" i="3"/>
  <c r="BM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s="1"/>
  <c r="BK442" i="3"/>
  <c r="BA442" i="3" s="1"/>
  <c r="BJ442" i="3"/>
  <c r="BI442" i="3"/>
  <c r="BH442" i="3"/>
  <c r="BG442" i="3"/>
  <c r="BF442" i="3"/>
  <c r="BE442" i="3"/>
  <c r="BD442" i="3"/>
  <c r="BC442" i="3"/>
  <c r="BB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L438" i="3"/>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L430" i="3"/>
  <c r="BM430" i="3"/>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L418" i="3"/>
  <c r="BM418" i="3"/>
  <c r="BK418" i="3"/>
  <c r="BJ418" i="3"/>
  <c r="BI418" i="3"/>
  <c r="BA418" i="3" s="1"/>
  <c r="BH418" i="3"/>
  <c r="BG418" i="3"/>
  <c r="BF418" i="3"/>
  <c r="BE418" i="3"/>
  <c r="BD418" i="3"/>
  <c r="BC418" i="3"/>
  <c r="BB418" i="3"/>
  <c r="AX418" i="3"/>
  <c r="AW418" i="3"/>
  <c r="AV418" i="3"/>
  <c r="AC418" i="3"/>
  <c r="H418" i="3"/>
  <c r="BT417" i="3"/>
  <c r="BS417" i="3"/>
  <c r="BR417" i="3"/>
  <c r="BQ417" i="3"/>
  <c r="BP417" i="3"/>
  <c r="BO417" i="3"/>
  <c r="BN417" i="3"/>
  <c r="BM417" i="3"/>
  <c r="BL417" i="3" s="1"/>
  <c r="BK417" i="3"/>
  <c r="BA417" i="3" s="1"/>
  <c r="AZ417" i="3" s="1"/>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A412" i="3"/>
  <c r="BC412" i="3"/>
  <c r="BB412" i="3"/>
  <c r="AX412" i="3"/>
  <c r="AW412" i="3"/>
  <c r="AV412" i="3"/>
  <c r="AC412" i="3"/>
  <c r="H412" i="3"/>
  <c r="G412" i="3" s="1"/>
  <c r="BT411" i="3"/>
  <c r="BS411" i="3"/>
  <c r="BR411" i="3"/>
  <c r="BQ411" i="3"/>
  <c r="BL411" i="3" s="1"/>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BB406" i="3"/>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H401" i="3"/>
  <c r="BT400" i="3"/>
  <c r="BS400" i="3"/>
  <c r="BR400" i="3"/>
  <c r="BQ400" i="3"/>
  <c r="BP400" i="3"/>
  <c r="BO400" i="3"/>
  <c r="BN400" i="3"/>
  <c r="BM400" i="3"/>
  <c r="BK400" i="3"/>
  <c r="BJ400" i="3"/>
  <c r="BI400" i="3"/>
  <c r="BH400" i="3"/>
  <c r="BG400" i="3"/>
  <c r="BF400" i="3"/>
  <c r="BE400" i="3"/>
  <c r="BD400" i="3"/>
  <c r="BA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L397" i="3" s="1"/>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c r="BC396" i="3"/>
  <c r="BB396" i="3"/>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A395" i="3" s="1"/>
  <c r="AZ395" i="3" s="1"/>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L389" i="3" s="1"/>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G388" i="3"/>
  <c r="H388" i="3"/>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L384" i="3" s="1"/>
  <c r="BS384" i="3"/>
  <c r="BR384" i="3"/>
  <c r="BQ384" i="3"/>
  <c r="BP384" i="3"/>
  <c r="BO384" i="3"/>
  <c r="BN384" i="3"/>
  <c r="BM384" i="3"/>
  <c r="BK384" i="3"/>
  <c r="BJ384" i="3"/>
  <c r="BI384" i="3"/>
  <c r="BH384" i="3"/>
  <c r="BA384" i="3" s="1"/>
  <c r="AZ384" i="3" s="1"/>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L376" i="3" s="1"/>
  <c r="BS376" i="3"/>
  <c r="BR376" i="3"/>
  <c r="BQ376" i="3"/>
  <c r="BP376" i="3"/>
  <c r="BO376" i="3"/>
  <c r="BN376" i="3"/>
  <c r="BM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G372" i="3"/>
  <c r="H372" i="3"/>
  <c r="BT371" i="3"/>
  <c r="BS371" i="3"/>
  <c r="BR371" i="3"/>
  <c r="BQ371" i="3"/>
  <c r="BP371" i="3"/>
  <c r="BO371" i="3"/>
  <c r="BN371" i="3"/>
  <c r="BM371" i="3"/>
  <c r="BL371" i="3" s="1"/>
  <c r="BK371" i="3"/>
  <c r="BJ371" i="3"/>
  <c r="BA371" i="3" s="1"/>
  <c r="BI371" i="3"/>
  <c r="BH371" i="3"/>
  <c r="BG371" i="3"/>
  <c r="BF371" i="3"/>
  <c r="BE371" i="3"/>
  <c r="BD371" i="3"/>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G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G364" i="3"/>
  <c r="H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L358" i="3"/>
  <c r="BM358" i="3"/>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G352" i="3" s="1"/>
  <c r="BT351" i="3"/>
  <c r="BS351" i="3"/>
  <c r="BR351" i="3"/>
  <c r="BQ351" i="3"/>
  <c r="BL351" i="3" s="1"/>
  <c r="BP351" i="3"/>
  <c r="BO351" i="3"/>
  <c r="BN351" i="3"/>
  <c r="BM351" i="3"/>
  <c r="BK351" i="3"/>
  <c r="BJ351" i="3"/>
  <c r="BI351" i="3"/>
  <c r="BH351" i="3"/>
  <c r="BG351" i="3"/>
  <c r="BF351" i="3"/>
  <c r="BE351" i="3"/>
  <c r="BA351" i="3" s="1"/>
  <c r="AZ351" i="3" s="1"/>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A348" i="3" s="1"/>
  <c r="BI348" i="3"/>
  <c r="BH348" i="3"/>
  <c r="BG348" i="3"/>
  <c r="BF348" i="3"/>
  <c r="BE348" i="3"/>
  <c r="BD348" i="3"/>
  <c r="BC348" i="3"/>
  <c r="BB348" i="3"/>
  <c r="AX348" i="3"/>
  <c r="AW348" i="3"/>
  <c r="AV348" i="3"/>
  <c r="AC348" i="3"/>
  <c r="H348" i="3"/>
  <c r="G348" i="3" s="1"/>
  <c r="BT347" i="3"/>
  <c r="BS347" i="3"/>
  <c r="BR347" i="3"/>
  <c r="BQ347" i="3"/>
  <c r="BP347" i="3"/>
  <c r="BO347" i="3"/>
  <c r="BL347" i="3"/>
  <c r="BN347" i="3"/>
  <c r="BM347" i="3"/>
  <c r="BK347" i="3"/>
  <c r="BJ347" i="3"/>
  <c r="BI347" i="3"/>
  <c r="BH347" i="3"/>
  <c r="BG347" i="3"/>
  <c r="BF347" i="3"/>
  <c r="BE347" i="3"/>
  <c r="BD347" i="3"/>
  <c r="BC347" i="3"/>
  <c r="BA347" i="3"/>
  <c r="AZ347" i="3" s="1"/>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K344" i="3"/>
  <c r="BJ344" i="3"/>
  <c r="BI344" i="3"/>
  <c r="BH344" i="3"/>
  <c r="BG344" i="3"/>
  <c r="BF344" i="3"/>
  <c r="BA344" i="3" s="1"/>
  <c r="BE344" i="3"/>
  <c r="BD344" i="3"/>
  <c r="BC344" i="3"/>
  <c r="BB344" i="3"/>
  <c r="AX344" i="3"/>
  <c r="AW344" i="3"/>
  <c r="AV344" i="3"/>
  <c r="AC344" i="3"/>
  <c r="H344" i="3"/>
  <c r="G344" i="3" s="1"/>
  <c r="BT343" i="3"/>
  <c r="BS343" i="3"/>
  <c r="BR343" i="3"/>
  <c r="BQ343" i="3"/>
  <c r="BL343" i="3" s="1"/>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A341" i="3" s="1"/>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c r="BT337" i="3"/>
  <c r="BL337" i="3" s="1"/>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L327" i="3" s="1"/>
  <c r="BR327" i="3"/>
  <c r="BQ327" i="3"/>
  <c r="BP327" i="3"/>
  <c r="BO327" i="3"/>
  <c r="BN327" i="3"/>
  <c r="BM327" i="3"/>
  <c r="BK327" i="3"/>
  <c r="BJ327" i="3"/>
  <c r="BI327" i="3"/>
  <c r="BH327" i="3"/>
  <c r="BG327" i="3"/>
  <c r="BA327" i="3" s="1"/>
  <c r="BF327" i="3"/>
  <c r="BE327" i="3"/>
  <c r="BD327" i="3"/>
  <c r="BC327" i="3"/>
  <c r="BB327" i="3"/>
  <c r="AX327" i="3"/>
  <c r="AW327" i="3"/>
  <c r="AV327" i="3"/>
  <c r="AC327" i="3"/>
  <c r="H327" i="3"/>
  <c r="G327" i="3" s="1"/>
  <c r="BT326" i="3"/>
  <c r="BS326" i="3"/>
  <c r="BR326" i="3"/>
  <c r="BQ326" i="3"/>
  <c r="BP326" i="3"/>
  <c r="BO326" i="3"/>
  <c r="BN326" i="3"/>
  <c r="BL326" i="3"/>
  <c r="BM326" i="3"/>
  <c r="BK326" i="3"/>
  <c r="BJ326" i="3"/>
  <c r="BA326" i="3" s="1"/>
  <c r="AZ326" i="3" s="1"/>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AZ324" i="3" s="1"/>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L321" i="3" s="1"/>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c r="BN319" i="3"/>
  <c r="BM319" i="3"/>
  <c r="BK319" i="3"/>
  <c r="BJ319" i="3"/>
  <c r="BI319" i="3"/>
  <c r="BH319" i="3"/>
  <c r="BG319" i="3"/>
  <c r="BF319" i="3"/>
  <c r="BE319" i="3"/>
  <c r="BD319" i="3"/>
  <c r="BC319" i="3"/>
  <c r="BA319" i="3"/>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A313" i="3" s="1"/>
  <c r="AZ313" i="3" s="1"/>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G312" i="3" s="1"/>
  <c r="H312" i="3"/>
  <c r="BT311" i="3"/>
  <c r="BS311" i="3"/>
  <c r="BR311" i="3"/>
  <c r="BQ311" i="3"/>
  <c r="BP311" i="3"/>
  <c r="BO311" i="3"/>
  <c r="BL311" i="3"/>
  <c r="BN311" i="3"/>
  <c r="BM311" i="3"/>
  <c r="BK311" i="3"/>
  <c r="BJ311" i="3"/>
  <c r="BI311" i="3"/>
  <c r="BH311" i="3"/>
  <c r="BG311" i="3"/>
  <c r="BF311" i="3"/>
  <c r="BE311" i="3"/>
  <c r="BD311" i="3"/>
  <c r="BC311" i="3"/>
  <c r="BA311" i="3"/>
  <c r="AZ311" i="3" s="1"/>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L307" i="3" s="1"/>
  <c r="BM307" i="3"/>
  <c r="BK307" i="3"/>
  <c r="BJ307" i="3"/>
  <c r="BI307" i="3"/>
  <c r="BA307" i="3" s="1"/>
  <c r="AZ307" i="3" s="1"/>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L300" i="3" s="1"/>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L296" i="3" s="1"/>
  <c r="BP296" i="3"/>
  <c r="BO296" i="3"/>
  <c r="BN296" i="3"/>
  <c r="BM296" i="3"/>
  <c r="BK296" i="3"/>
  <c r="BJ296" i="3"/>
  <c r="BI296" i="3"/>
  <c r="BH296" i="3"/>
  <c r="BG296" i="3"/>
  <c r="BF296" i="3"/>
  <c r="BE296" i="3"/>
  <c r="BD296" i="3"/>
  <c r="BC296" i="3"/>
  <c r="BA296" i="3" s="1"/>
  <c r="AZ296" i="3" s="1"/>
  <c r="BB296" i="3"/>
  <c r="AX296" i="3"/>
  <c r="AW296" i="3"/>
  <c r="AV296" i="3"/>
  <c r="AC296" i="3"/>
  <c r="H296" i="3"/>
  <c r="BT295" i="3"/>
  <c r="BS295" i="3"/>
  <c r="BL295" i="3" s="1"/>
  <c r="BR295" i="3"/>
  <c r="BQ295" i="3"/>
  <c r="BP295" i="3"/>
  <c r="BO295" i="3"/>
  <c r="BN295" i="3"/>
  <c r="BM295" i="3"/>
  <c r="BK295" i="3"/>
  <c r="BJ295" i="3"/>
  <c r="BI295" i="3"/>
  <c r="BH295" i="3"/>
  <c r="BG295" i="3"/>
  <c r="BF295" i="3"/>
  <c r="BE295" i="3"/>
  <c r="BD295" i="3"/>
  <c r="BC295" i="3"/>
  <c r="BB295" i="3"/>
  <c r="AX295" i="3"/>
  <c r="AW295" i="3"/>
  <c r="AV295" i="3"/>
  <c r="AC295" i="3"/>
  <c r="H295" i="3"/>
  <c r="G295" i="3"/>
  <c r="BT294" i="3"/>
  <c r="BL294" i="3" s="1"/>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A285" i="3" s="1"/>
  <c r="BH285" i="3"/>
  <c r="BG285" i="3"/>
  <c r="BF285" i="3"/>
  <c r="BE285" i="3"/>
  <c r="BD285" i="3"/>
  <c r="BC285" i="3"/>
  <c r="BB285" i="3"/>
  <c r="AX285" i="3"/>
  <c r="AW285" i="3"/>
  <c r="AV285" i="3"/>
  <c r="AC285" i="3"/>
  <c r="H285" i="3"/>
  <c r="BT284" i="3"/>
  <c r="BS284" i="3"/>
  <c r="BR284" i="3"/>
  <c r="BQ284" i="3"/>
  <c r="BP284" i="3"/>
  <c r="BO284" i="3"/>
  <c r="BN284" i="3"/>
  <c r="BM284" i="3"/>
  <c r="BL284" i="3"/>
  <c r="BK284" i="3"/>
  <c r="BA284" i="3" s="1"/>
  <c r="AZ284" i="3" s="1"/>
  <c r="BJ284" i="3"/>
  <c r="BI284" i="3"/>
  <c r="BH284" i="3"/>
  <c r="BG284" i="3"/>
  <c r="BF284" i="3"/>
  <c r="BE284" i="3"/>
  <c r="BD284" i="3"/>
  <c r="BC284" i="3"/>
  <c r="BB284" i="3"/>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L280" i="3" s="1"/>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A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A273" i="3" s="1"/>
  <c r="AZ273" i="3" s="1"/>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A262" i="3" s="1"/>
  <c r="AZ262" i="3" s="1"/>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L257" i="3" s="1"/>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L255" i="3"/>
  <c r="BN255" i="3"/>
  <c r="BM255" i="3"/>
  <c r="BK255" i="3"/>
  <c r="BJ255" i="3"/>
  <c r="BA255" i="3" s="1"/>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G252" i="3" s="1"/>
  <c r="H252" i="3"/>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c r="BM250" i="3"/>
  <c r="BK250" i="3"/>
  <c r="BJ250" i="3"/>
  <c r="BA250" i="3" s="1"/>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A233" i="3" s="1"/>
  <c r="AZ233" i="3" s="1"/>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A227" i="3" s="1"/>
  <c r="AZ227" i="3" s="1"/>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L200" i="3" s="1"/>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AZ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A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AZ173" i="3" s="1"/>
  <c r="BP173" i="3"/>
  <c r="BO173" i="3"/>
  <c r="BN173" i="3"/>
  <c r="BM173" i="3"/>
  <c r="BK173" i="3"/>
  <c r="BJ173" i="3"/>
  <c r="BI173" i="3"/>
  <c r="BH173" i="3"/>
  <c r="BG173" i="3"/>
  <c r="BF173" i="3"/>
  <c r="BE173" i="3"/>
  <c r="BA173" i="3" s="1"/>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c r="BT170" i="3"/>
  <c r="BS170" i="3"/>
  <c r="BR170" i="3"/>
  <c r="BQ170" i="3"/>
  <c r="BP170" i="3"/>
  <c r="BO170" i="3"/>
  <c r="BN170" i="3"/>
  <c r="BL170" i="3" s="1"/>
  <c r="AZ170" i="3" s="1"/>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L168" i="3" s="1"/>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L161" i="3" s="1"/>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L160" i="3" s="1"/>
  <c r="BP160" i="3"/>
  <c r="BO160" i="3"/>
  <c r="BN160" i="3"/>
  <c r="BM160" i="3"/>
  <c r="BK160" i="3"/>
  <c r="BJ160" i="3"/>
  <c r="BI160" i="3"/>
  <c r="BH160" i="3"/>
  <c r="BG160" i="3"/>
  <c r="BF160" i="3"/>
  <c r="BE160" i="3"/>
  <c r="BD160" i="3"/>
  <c r="BC160" i="3"/>
  <c r="BB160" i="3"/>
  <c r="AX160" i="3"/>
  <c r="AW160" i="3"/>
  <c r="AV160" i="3"/>
  <c r="AC160" i="3"/>
  <c r="H160" i="3"/>
  <c r="BT159" i="3"/>
  <c r="BS159" i="3"/>
  <c r="BL159" i="3" s="1"/>
  <c r="BR159" i="3"/>
  <c r="BQ159" i="3"/>
  <c r="BP159" i="3"/>
  <c r="BO159" i="3"/>
  <c r="BN159" i="3"/>
  <c r="BM159" i="3"/>
  <c r="BK159" i="3"/>
  <c r="BJ159" i="3"/>
  <c r="BI159" i="3"/>
  <c r="BH159" i="3"/>
  <c r="BG159" i="3"/>
  <c r="BA159" i="3" s="1"/>
  <c r="AZ159" i="3" s="1"/>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L152" i="3" s="1"/>
  <c r="BO152" i="3"/>
  <c r="BN152" i="3"/>
  <c r="BM152" i="3"/>
  <c r="BK152" i="3"/>
  <c r="BJ152" i="3"/>
  <c r="BI152" i="3"/>
  <c r="BH152" i="3"/>
  <c r="BG152" i="3"/>
  <c r="BF152" i="3"/>
  <c r="BE152" i="3"/>
  <c r="BD152" i="3"/>
  <c r="BC152" i="3"/>
  <c r="BB152" i="3"/>
  <c r="AX152" i="3"/>
  <c r="AW152" i="3"/>
  <c r="AV152" i="3"/>
  <c r="AC152" i="3"/>
  <c r="H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L150" i="3" s="1"/>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G148" i="3"/>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AZ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K131" i="3"/>
  <c r="BJ131" i="3"/>
  <c r="BI131" i="3"/>
  <c r="BH131" i="3"/>
  <c r="BG131" i="3"/>
  <c r="BA131" i="3" s="1"/>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A129" i="3" s="1"/>
  <c r="AZ129" i="3" s="1"/>
  <c r="BH129" i="3"/>
  <c r="BG129" i="3"/>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s="1"/>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A119" i="3" s="1"/>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L112" i="3" s="1"/>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G106" i="3" s="1"/>
  <c r="H106" i="3"/>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L104" i="3" s="1"/>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BT98" i="3"/>
  <c r="BS98" i="3"/>
  <c r="BR98" i="3"/>
  <c r="BQ98" i="3"/>
  <c r="BP98" i="3"/>
  <c r="BL98" i="3" s="1"/>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L95" i="3"/>
  <c r="BN95" i="3"/>
  <c r="BM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L88" i="3" s="1"/>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A84" i="3"/>
  <c r="AZ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A82" i="3" s="1"/>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R80" i="3"/>
  <c r="BQ80" i="3"/>
  <c r="BP80" i="3"/>
  <c r="BO80" i="3"/>
  <c r="BL80" i="3"/>
  <c r="BN80" i="3"/>
  <c r="BM80" i="3"/>
  <c r="BK80" i="3"/>
  <c r="BJ80" i="3"/>
  <c r="BA80" i="3" s="1"/>
  <c r="AZ80" i="3" s="1"/>
  <c r="BI80" i="3"/>
  <c r="BH80" i="3"/>
  <c r="BG80" i="3"/>
  <c r="BF80" i="3"/>
  <c r="BE80" i="3"/>
  <c r="BD80" i="3"/>
  <c r="BC80" i="3"/>
  <c r="BB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BA79" i="3" s="1"/>
  <c r="AX79" i="3"/>
  <c r="AW79" i="3"/>
  <c r="AV79" i="3"/>
  <c r="AC79" i="3"/>
  <c r="H79" i="3"/>
  <c r="G79" i="3" s="1"/>
  <c r="BT78" i="3"/>
  <c r="BS78" i="3"/>
  <c r="BR78" i="3"/>
  <c r="BQ78" i="3"/>
  <c r="BP78" i="3"/>
  <c r="BL78" i="3" s="1"/>
  <c r="BO78" i="3"/>
  <c r="BN78" i="3"/>
  <c r="BM78" i="3"/>
  <c r="BK78" i="3"/>
  <c r="BJ78" i="3"/>
  <c r="BI78" i="3"/>
  <c r="BH78" i="3"/>
  <c r="BG78" i="3"/>
  <c r="BF78" i="3"/>
  <c r="BE78" i="3"/>
  <c r="BD78" i="3"/>
  <c r="BC78" i="3"/>
  <c r="BB78" i="3"/>
  <c r="AX78" i="3"/>
  <c r="AW78" i="3"/>
  <c r="AV78" i="3"/>
  <c r="AC78" i="3"/>
  <c r="H78" i="3"/>
  <c r="G78" i="3"/>
  <c r="BT77" i="3"/>
  <c r="BS77" i="3"/>
  <c r="BR77" i="3"/>
  <c r="BQ77" i="3"/>
  <c r="BL77" i="3" s="1"/>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s="1"/>
  <c r="BT73" i="3"/>
  <c r="BS73" i="3"/>
  <c r="BR73" i="3"/>
  <c r="BQ73" i="3"/>
  <c r="BP73" i="3"/>
  <c r="BO73" i="3"/>
  <c r="BN73" i="3"/>
  <c r="BM73" i="3"/>
  <c r="BL73" i="3" s="1"/>
  <c r="BK73" i="3"/>
  <c r="BJ73" i="3"/>
  <c r="BI73" i="3"/>
  <c r="BH73" i="3"/>
  <c r="BG73" i="3"/>
  <c r="BA73" i="3" s="1"/>
  <c r="AZ73" i="3" s="1"/>
  <c r="BF73" i="3"/>
  <c r="BE73" i="3"/>
  <c r="BD73" i="3"/>
  <c r="BC73" i="3"/>
  <c r="BB73" i="3"/>
  <c r="AX73" i="3"/>
  <c r="AW73" i="3"/>
  <c r="AV73" i="3"/>
  <c r="AC73" i="3"/>
  <c r="G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L71" i="3"/>
  <c r="BM71" i="3"/>
  <c r="BK71" i="3"/>
  <c r="BJ71" i="3"/>
  <c r="BI71" i="3"/>
  <c r="BA71" i="3" s="1"/>
  <c r="AZ71" i="3" s="1"/>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c r="BT69" i="3"/>
  <c r="BS69" i="3"/>
  <c r="BR69" i="3"/>
  <c r="BQ69" i="3"/>
  <c r="BP69" i="3"/>
  <c r="BO69" i="3"/>
  <c r="BN69" i="3"/>
  <c r="BM69" i="3"/>
  <c r="BL69" i="3" s="1"/>
  <c r="BK69" i="3"/>
  <c r="BJ69" i="3"/>
  <c r="BI69" i="3"/>
  <c r="BH69" i="3"/>
  <c r="BG69" i="3"/>
  <c r="BF69" i="3"/>
  <c r="BA69" i="3" s="1"/>
  <c r="BE69" i="3"/>
  <c r="BD69" i="3"/>
  <c r="AZ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A67" i="3" s="1"/>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L59" i="3" s="1"/>
  <c r="BP59" i="3"/>
  <c r="BO59" i="3"/>
  <c r="BN59" i="3"/>
  <c r="BM59" i="3"/>
  <c r="BK59" i="3"/>
  <c r="BJ59" i="3"/>
  <c r="BI59" i="3"/>
  <c r="BH59" i="3"/>
  <c r="BG59" i="3"/>
  <c r="BF59" i="3"/>
  <c r="BE59" i="3"/>
  <c r="BA59" i="3" s="1"/>
  <c r="BD59" i="3"/>
  <c r="BC59" i="3"/>
  <c r="BB59" i="3"/>
  <c r="AX59" i="3"/>
  <c r="AW59" i="3"/>
  <c r="AV59" i="3"/>
  <c r="AC59" i="3"/>
  <c r="H59" i="3"/>
  <c r="G59" i="3"/>
  <c r="BT58" i="3"/>
  <c r="BS58" i="3"/>
  <c r="BR58" i="3"/>
  <c r="BQ58" i="3"/>
  <c r="BP58" i="3"/>
  <c r="BO58" i="3"/>
  <c r="BN58" i="3"/>
  <c r="BM58" i="3"/>
  <c r="BL58" i="3" s="1"/>
  <c r="BK58" i="3"/>
  <c r="BJ58" i="3"/>
  <c r="BI58" i="3"/>
  <c r="BA58" i="3" s="1"/>
  <c r="AZ58" i="3" s="1"/>
  <c r="BH58" i="3"/>
  <c r="BG58" i="3"/>
  <c r="BF58" i="3"/>
  <c r="BE58" i="3"/>
  <c r="BD58" i="3"/>
  <c r="BC58" i="3"/>
  <c r="BB58" i="3"/>
  <c r="AX58" i="3"/>
  <c r="AW58" i="3"/>
  <c r="AV58" i="3"/>
  <c r="AC58" i="3"/>
  <c r="H58" i="3"/>
  <c r="G58" i="3" s="1"/>
  <c r="BT57" i="3"/>
  <c r="BS57" i="3"/>
  <c r="BR57" i="3"/>
  <c r="BQ57" i="3"/>
  <c r="BP57" i="3"/>
  <c r="BO57" i="3"/>
  <c r="BL57" i="3" s="1"/>
  <c r="BN57" i="3"/>
  <c r="BM57" i="3"/>
  <c r="BK57" i="3"/>
  <c r="BA57" i="3" s="1"/>
  <c r="AZ57" i="3" s="1"/>
  <c r="BJ57" i="3"/>
  <c r="BI57" i="3"/>
  <c r="BH57" i="3"/>
  <c r="BG57" i="3"/>
  <c r="BF57" i="3"/>
  <c r="BE57" i="3"/>
  <c r="BD57" i="3"/>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A54" i="3" s="1"/>
  <c r="BG54" i="3"/>
  <c r="BF54" i="3"/>
  <c r="BE54" i="3"/>
  <c r="BD54" i="3"/>
  <c r="BC54" i="3"/>
  <c r="BB54" i="3"/>
  <c r="AX54" i="3"/>
  <c r="AW54" i="3"/>
  <c r="AV54" i="3"/>
  <c r="AC54" i="3"/>
  <c r="H54" i="3"/>
  <c r="G54" i="3" s="1"/>
  <c r="BT53" i="3"/>
  <c r="BS53" i="3"/>
  <c r="BR53" i="3"/>
  <c r="BQ53" i="3"/>
  <c r="BP53" i="3"/>
  <c r="BO53" i="3"/>
  <c r="BN53" i="3"/>
  <c r="BL53" i="3" s="1"/>
  <c r="BM53" i="3"/>
  <c r="BK53" i="3"/>
  <c r="BJ53" i="3"/>
  <c r="BA53" i="3" s="1"/>
  <c r="AZ53" i="3" s="1"/>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A52" i="3" s="1"/>
  <c r="AZ52" i="3" s="1"/>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L50" i="3" s="1"/>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L45" i="3" s="1"/>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D42" i="3"/>
  <c r="BC42" i="3"/>
  <c r="BB42" i="3"/>
  <c r="AX42" i="3"/>
  <c r="AW42" i="3"/>
  <c r="AV42" i="3"/>
  <c r="AC42" i="3"/>
  <c r="G42" i="3" s="1"/>
  <c r="H42" i="3"/>
  <c r="BT41" i="3"/>
  <c r="BS41" i="3"/>
  <c r="BL41" i="3" s="1"/>
  <c r="BR41" i="3"/>
  <c r="BQ41" i="3"/>
  <c r="BP41" i="3"/>
  <c r="BO41" i="3"/>
  <c r="BN41" i="3"/>
  <c r="BM41" i="3"/>
  <c r="BK41" i="3"/>
  <c r="BJ41" i="3"/>
  <c r="BI41" i="3"/>
  <c r="BH41" i="3"/>
  <c r="BG41" i="3"/>
  <c r="BF41" i="3"/>
  <c r="BE41" i="3"/>
  <c r="BD41" i="3"/>
  <c r="BC41" i="3"/>
  <c r="BB41" i="3"/>
  <c r="BA41" i="3" s="1"/>
  <c r="AZ41" i="3" s="1"/>
  <c r="AX41" i="3"/>
  <c r="AW41" i="3"/>
  <c r="AV41" i="3"/>
  <c r="AC41" i="3"/>
  <c r="G41" i="3"/>
  <c r="H41" i="3"/>
  <c r="BT40" i="3"/>
  <c r="BS40" i="3"/>
  <c r="BR40" i="3"/>
  <c r="BQ40" i="3"/>
  <c r="BP40" i="3"/>
  <c r="BO40" i="3"/>
  <c r="BL40" i="3"/>
  <c r="BN40" i="3"/>
  <c r="BM40" i="3"/>
  <c r="BK40" i="3"/>
  <c r="BJ40" i="3"/>
  <c r="BA40" i="3" s="1"/>
  <c r="AZ40" i="3" s="1"/>
  <c r="BI40" i="3"/>
  <c r="BH40" i="3"/>
  <c r="BG40" i="3"/>
  <c r="BF40" i="3"/>
  <c r="BE40" i="3"/>
  <c r="BD40" i="3"/>
  <c r="BC40" i="3"/>
  <c r="BB40" i="3"/>
  <c r="AX40" i="3"/>
  <c r="AW40" i="3"/>
  <c r="AV40" i="3"/>
  <c r="AC40" i="3"/>
  <c r="H40" i="3"/>
  <c r="G40" i="3"/>
  <c r="BT39" i="3"/>
  <c r="BS39" i="3"/>
  <c r="BR39" i="3"/>
  <c r="BQ39" i="3"/>
  <c r="BL39" i="3" s="1"/>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A36" i="3" s="1"/>
  <c r="AZ36" i="3" s="1"/>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L29" i="3" s="1"/>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Q5" i="3" s="1"/>
  <c r="BP26" i="3"/>
  <c r="BO26" i="3"/>
  <c r="BN26" i="3"/>
  <c r="BM26" i="3"/>
  <c r="BL26" i="3" s="1"/>
  <c r="BK26" i="3"/>
  <c r="BJ26" i="3"/>
  <c r="BI26" i="3"/>
  <c r="BH26" i="3"/>
  <c r="BG26" i="3"/>
  <c r="BF26" i="3"/>
  <c r="BE26" i="3"/>
  <c r="BA26" i="3" s="1"/>
  <c r="AZ26" i="3" s="1"/>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A25" i="3"/>
  <c r="AZ25" i="3" s="1"/>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c r="BM23" i="3"/>
  <c r="BK23" i="3"/>
  <c r="BJ23" i="3"/>
  <c r="BI23" i="3"/>
  <c r="BA23" i="3" s="1"/>
  <c r="AZ23" i="3" s="1"/>
  <c r="BH23" i="3"/>
  <c r="BG23" i="3"/>
  <c r="BF23" i="3"/>
  <c r="BE23" i="3"/>
  <c r="BD23" i="3"/>
  <c r="BC23" i="3"/>
  <c r="BB23" i="3"/>
  <c r="AX23" i="3"/>
  <c r="AW23" i="3"/>
  <c r="AV23" i="3"/>
  <c r="AC23" i="3"/>
  <c r="H23" i="3"/>
  <c r="G23" i="3" s="1"/>
  <c r="BT22" i="3"/>
  <c r="BS22" i="3"/>
  <c r="BR22" i="3"/>
  <c r="BQ22" i="3"/>
  <c r="BP22" i="3"/>
  <c r="BL22" i="3" s="1"/>
  <c r="AZ22" i="3" s="1"/>
  <c r="BO22" i="3"/>
  <c r="BN22" i="3"/>
  <c r="BM22" i="3"/>
  <c r="BK22" i="3"/>
  <c r="BJ22" i="3"/>
  <c r="BI22" i="3"/>
  <c r="BH22" i="3"/>
  <c r="BG22" i="3"/>
  <c r="BF22" i="3"/>
  <c r="BE22" i="3"/>
  <c r="BD22" i="3"/>
  <c r="BA22" i="3" s="1"/>
  <c r="BC22" i="3"/>
  <c r="BB22" i="3"/>
  <c r="AX22" i="3"/>
  <c r="AW22" i="3"/>
  <c r="AV22" i="3"/>
  <c r="AC22" i="3"/>
  <c r="H22" i="3"/>
  <c r="G22" i="3"/>
  <c r="BT21" i="3"/>
  <c r="BS21" i="3"/>
  <c r="BR21" i="3"/>
  <c r="BQ21" i="3"/>
  <c r="BP21" i="3"/>
  <c r="BO21" i="3"/>
  <c r="BN21" i="3"/>
  <c r="BM21" i="3"/>
  <c r="BK21" i="3"/>
  <c r="BJ21" i="3"/>
  <c r="BI21" i="3"/>
  <c r="BH21" i="3"/>
  <c r="BG21" i="3"/>
  <c r="BF21" i="3"/>
  <c r="BA21" i="3" s="1"/>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A19" i="3" s="1"/>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L15" i="3" s="1"/>
  <c r="BK15" i="3"/>
  <c r="BJ15" i="3"/>
  <c r="BI15" i="3"/>
  <c r="BH15" i="3"/>
  <c r="BA15" i="3" s="1"/>
  <c r="AZ15" i="3" s="1"/>
  <c r="BG15" i="3"/>
  <c r="BF15" i="3"/>
  <c r="BE15" i="3"/>
  <c r="BD15" i="3"/>
  <c r="BC15" i="3"/>
  <c r="BB15" i="3"/>
  <c r="AX15" i="3"/>
  <c r="AW15" i="3"/>
  <c r="AV15" i="3"/>
  <c r="AC15" i="3"/>
  <c r="H15" i="3"/>
  <c r="G15" i="3" s="1"/>
  <c r="BT14" i="3"/>
  <c r="BS14" i="3"/>
  <c r="BR14" i="3"/>
  <c r="BQ14" i="3"/>
  <c r="BP14" i="3"/>
  <c r="BO14" i="3"/>
  <c r="BL14" i="3" s="1"/>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T35" i="4" s="1"/>
  <c r="C33" i="4"/>
  <c r="C32" i="4"/>
  <c r="C31" i="4"/>
  <c r="L22" i="4"/>
  <c r="L21" i="4"/>
  <c r="L20" i="4"/>
  <c r="A15" i="62"/>
  <c r="B61" i="72" s="1"/>
  <c r="F19" i="4"/>
  <c r="I15" i="4"/>
  <c r="H15" i="4"/>
  <c r="G15" i="4"/>
  <c r="F15" i="4"/>
  <c r="C15" i="4"/>
  <c r="K6" i="4"/>
  <c r="I4" i="4"/>
  <c r="G4" i="4"/>
  <c r="K5" i="4"/>
  <c r="B47" i="48"/>
  <c r="E4" i="4"/>
  <c r="B5" i="62" s="1"/>
  <c r="B73" i="72" s="1"/>
  <c r="C4" i="4"/>
  <c r="K4" i="4"/>
  <c r="B46" i="48" s="1"/>
  <c r="B4" i="72" s="1"/>
  <c r="S2" i="4"/>
  <c r="S1" i="4"/>
  <c r="A4" i="51" s="1"/>
  <c r="B1" i="4"/>
  <c r="C60" i="78"/>
  <c r="D60" i="78" s="1"/>
  <c r="B55" i="78"/>
  <c r="D55" i="78"/>
  <c r="B54" i="78"/>
  <c r="D54" i="78"/>
  <c r="D53" i="78"/>
  <c r="D51" i="78" s="1"/>
  <c r="D52" i="78"/>
  <c r="D56" i="78"/>
  <c r="D58" i="78" s="1"/>
  <c r="C51" i="78"/>
  <c r="C56" i="78" s="1"/>
  <c r="C58" i="78" s="1"/>
  <c r="B51" i="78"/>
  <c r="B56" i="78" s="1"/>
  <c r="B62"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c r="K22" i="78"/>
  <c r="E22" i="78"/>
  <c r="G22" i="78"/>
  <c r="F12" i="78"/>
  <c r="F11" i="78"/>
  <c r="C15" i="78" s="1"/>
  <c r="B3" i="78"/>
  <c r="C53" i="10"/>
  <c r="B51" i="10"/>
  <c r="H16" i="49"/>
  <c r="D16" i="49"/>
  <c r="D15" i="49"/>
  <c r="B2" i="49"/>
  <c r="F12" i="49" s="1"/>
  <c r="H12" i="49" s="1"/>
  <c r="A21" i="62"/>
  <c r="B67" i="72" s="1"/>
  <c r="A20" i="62"/>
  <c r="B66" i="72" s="1"/>
  <c r="A19" i="62"/>
  <c r="B65" i="72"/>
  <c r="A14" i="62"/>
  <c r="B60" i="72" s="1"/>
  <c r="A13" i="62"/>
  <c r="B59" i="72"/>
  <c r="A12" i="62"/>
  <c r="B58" i="72" s="1"/>
  <c r="A5" i="62"/>
  <c r="B4" i="62"/>
  <c r="B71" i="72"/>
  <c r="A4" i="62"/>
  <c r="B70" i="72" s="1"/>
  <c r="A10" i="52"/>
  <c r="B55" i="72" s="1"/>
  <c r="A8" i="52"/>
  <c r="B54" i="72"/>
  <c r="D6" i="52"/>
  <c r="A6" i="52"/>
  <c r="H2" i="52"/>
  <c r="F2" i="52"/>
  <c r="D2" i="52"/>
  <c r="A1" i="52"/>
  <c r="D21" i="53"/>
  <c r="B39" i="72" s="1"/>
  <c r="D19" i="53"/>
  <c r="D20" i="53" s="1"/>
  <c r="B40" i="72" s="1"/>
  <c r="B19" i="53"/>
  <c r="D16" i="53"/>
  <c r="D17" i="53" s="1"/>
  <c r="B36" i="72" s="1"/>
  <c r="B16" i="53"/>
  <c r="B33" i="72" s="1"/>
  <c r="B13" i="53"/>
  <c r="B29" i="72" s="1"/>
  <c r="D12" i="53"/>
  <c r="D11" i="53"/>
  <c r="D10" i="53"/>
  <c r="B26" i="72" s="1"/>
  <c r="D8" i="53"/>
  <c r="D9" i="53" s="1"/>
  <c r="B25" i="72" s="1"/>
  <c r="B8" i="53"/>
  <c r="A3" i="53"/>
  <c r="A2" i="53"/>
  <c r="B19" i="72" s="1"/>
  <c r="A24" i="51"/>
  <c r="B18" i="72" s="1"/>
  <c r="A22" i="51"/>
  <c r="B17" i="72" s="1"/>
  <c r="A21" i="51"/>
  <c r="B16" i="72"/>
  <c r="A20" i="51"/>
  <c r="B15" i="72" s="1"/>
  <c r="A18" i="51"/>
  <c r="B13" i="72" s="1"/>
  <c r="A15" i="51"/>
  <c r="B12" i="72" s="1"/>
  <c r="A3" i="51"/>
  <c r="B49" i="48"/>
  <c r="B5" i="72" s="1"/>
  <c r="B40" i="48"/>
  <c r="B3" i="72" s="1"/>
  <c r="B74" i="72"/>
  <c r="B72" i="72"/>
  <c r="B69" i="72"/>
  <c r="B68" i="72"/>
  <c r="B63" i="72"/>
  <c r="B62" i="72"/>
  <c r="B57" i="72"/>
  <c r="B50" i="72"/>
  <c r="B46" i="72"/>
  <c r="B44" i="72"/>
  <c r="B42" i="72"/>
  <c r="B38" i="72"/>
  <c r="B37" i="72"/>
  <c r="B34" i="72"/>
  <c r="B28" i="72"/>
  <c r="B27" i="72"/>
  <c r="B24" i="72"/>
  <c r="B23" i="72"/>
  <c r="B10" i="72"/>
  <c r="B8" i="72"/>
  <c r="B6" i="72"/>
  <c r="W8" i="34"/>
  <c r="D24" i="15"/>
  <c r="G13" i="1"/>
  <c r="AA9" i="34"/>
  <c r="G27" i="12"/>
  <c r="G41" i="68"/>
  <c r="G22" i="69"/>
  <c r="AZ70" i="3"/>
  <c r="C18" i="78"/>
  <c r="A118" i="9"/>
  <c r="J55" i="39"/>
  <c r="J50" i="40"/>
  <c r="N56" i="9"/>
  <c r="M56" i="9"/>
  <c r="BL82" i="3"/>
  <c r="G83" i="3"/>
  <c r="BL85" i="3"/>
  <c r="G87" i="3"/>
  <c r="BL89" i="3"/>
  <c r="G91" i="3"/>
  <c r="BL93" i="3"/>
  <c r="G95" i="3"/>
  <c r="BL97" i="3"/>
  <c r="G99" i="3"/>
  <c r="G103" i="3"/>
  <c r="BL106" i="3"/>
  <c r="AZ106" i="3" s="1"/>
  <c r="G107" i="3"/>
  <c r="BL110" i="3"/>
  <c r="G111" i="3"/>
  <c r="BL113" i="3"/>
  <c r="BL114" i="3"/>
  <c r="G115" i="3"/>
  <c r="BL118" i="3"/>
  <c r="AZ118" i="3"/>
  <c r="BL121" i="3"/>
  <c r="BL122" i="3"/>
  <c r="G123" i="3"/>
  <c r="BL126" i="3"/>
  <c r="G127" i="3"/>
  <c r="G128" i="3"/>
  <c r="BA135" i="3"/>
  <c r="BL138" i="3"/>
  <c r="G144" i="3"/>
  <c r="BA151" i="3"/>
  <c r="AZ151" i="3" s="1"/>
  <c r="BL154" i="3"/>
  <c r="G160" i="3"/>
  <c r="AZ165" i="3"/>
  <c r="BA167" i="3"/>
  <c r="G176" i="3"/>
  <c r="BA183" i="3"/>
  <c r="AZ183" i="3"/>
  <c r="BL186" i="3"/>
  <c r="G192" i="3"/>
  <c r="AZ197" i="3"/>
  <c r="BA199" i="3"/>
  <c r="AZ199" i="3"/>
  <c r="BL202" i="3"/>
  <c r="G208" i="3"/>
  <c r="BA215" i="3"/>
  <c r="BL218" i="3"/>
  <c r="G224" i="3"/>
  <c r="BA231" i="3"/>
  <c r="AZ231" i="3"/>
  <c r="BL234" i="3"/>
  <c r="G240" i="3"/>
  <c r="BA247" i="3"/>
  <c r="AZ247" i="3"/>
  <c r="BA263" i="3"/>
  <c r="BL266" i="3"/>
  <c r="AZ266" i="3" s="1"/>
  <c r="AZ277" i="3"/>
  <c r="BA279" i="3"/>
  <c r="AZ279" i="3" s="1"/>
  <c r="BL282" i="3"/>
  <c r="G288" i="3"/>
  <c r="BA295" i="3"/>
  <c r="AZ295" i="3"/>
  <c r="BL298" i="3"/>
  <c r="AZ298" i="3" s="1"/>
  <c r="G304" i="3"/>
  <c r="AZ354" i="3"/>
  <c r="AZ370" i="3"/>
  <c r="AZ371" i="3"/>
  <c r="AZ387" i="3"/>
  <c r="AZ402" i="3"/>
  <c r="AZ405" i="3"/>
  <c r="AZ418" i="3"/>
  <c r="R25" i="77"/>
  <c r="AZ81" i="3"/>
  <c r="AZ121" i="3"/>
  <c r="AZ125" i="3"/>
  <c r="AZ134" i="3"/>
  <c r="AZ198" i="3"/>
  <c r="G212" i="3"/>
  <c r="G228" i="3"/>
  <c r="G244" i="3"/>
  <c r="G260" i="3"/>
  <c r="G276" i="3"/>
  <c r="G292" i="3"/>
  <c r="AZ82" i="3"/>
  <c r="BA123" i="3"/>
  <c r="BA126" i="3"/>
  <c r="AZ126" i="3"/>
  <c r="BL130" i="3"/>
  <c r="G136" i="3"/>
  <c r="BA143" i="3"/>
  <c r="AZ143" i="3"/>
  <c r="G152" i="3"/>
  <c r="BL162" i="3"/>
  <c r="G168" i="3"/>
  <c r="BL178" i="3"/>
  <c r="AZ178" i="3" s="1"/>
  <c r="BA191" i="3"/>
  <c r="BL194" i="3"/>
  <c r="G200" i="3"/>
  <c r="BA207" i="3"/>
  <c r="G216" i="3"/>
  <c r="BA223" i="3"/>
  <c r="BL226" i="3"/>
  <c r="AZ226" i="3"/>
  <c r="G232" i="3"/>
  <c r="BA239" i="3"/>
  <c r="BL242" i="3"/>
  <c r="G248" i="3"/>
  <c r="AZ250" i="3"/>
  <c r="AZ255" i="3"/>
  <c r="BL258" i="3"/>
  <c r="G264" i="3"/>
  <c r="G280" i="3"/>
  <c r="AZ285" i="3"/>
  <c r="BA287" i="3"/>
  <c r="BL290" i="3"/>
  <c r="G296" i="3"/>
  <c r="BA303" i="3"/>
  <c r="BL306" i="3"/>
  <c r="AZ482" i="3"/>
  <c r="AZ483" i="3"/>
  <c r="AZ487" i="3"/>
  <c r="AZ490" i="3"/>
  <c r="AZ491" i="3"/>
  <c r="AZ498" i="3"/>
  <c r="AZ503" i="3"/>
  <c r="AZ582" i="3"/>
  <c r="D121" i="9"/>
  <c r="D7" i="52"/>
  <c r="K120" i="9"/>
  <c r="A18" i="62"/>
  <c r="B64" i="72" s="1"/>
  <c r="E78" i="34"/>
  <c r="J28" i="34"/>
  <c r="H28" i="34"/>
  <c r="W15" i="21"/>
  <c r="AC15" i="21"/>
  <c r="W23" i="21"/>
  <c r="AC23" i="21"/>
  <c r="S35" i="21"/>
  <c r="S43" i="21"/>
  <c r="F12" i="33"/>
  <c r="H12" i="33"/>
  <c r="J12" i="33"/>
  <c r="F79" i="33"/>
  <c r="G79" i="33" s="1"/>
  <c r="AA45" i="33"/>
  <c r="S45" i="33"/>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BA517" i="3"/>
  <c r="AZ517" i="3" s="1"/>
  <c r="BA521" i="3"/>
  <c r="AZ521" i="3"/>
  <c r="BA525" i="3"/>
  <c r="AZ525" i="3" s="1"/>
  <c r="BA529" i="3"/>
  <c r="BA533" i="3"/>
  <c r="AZ533" i="3"/>
  <c r="BA537" i="3"/>
  <c r="AZ537" i="3" s="1"/>
  <c r="BA541" i="3"/>
  <c r="AZ541" i="3" s="1"/>
  <c r="BA549" i="3"/>
  <c r="AZ549" i="3" s="1"/>
  <c r="BA553" i="3"/>
  <c r="AZ553" i="3"/>
  <c r="BA557" i="3"/>
  <c r="BA561" i="3"/>
  <c r="AZ561" i="3" s="1"/>
  <c r="BA565" i="3"/>
  <c r="AZ565" i="3" s="1"/>
  <c r="BA569" i="3"/>
  <c r="BA573" i="3"/>
  <c r="AZ573" i="3" s="1"/>
  <c r="BA577" i="3"/>
  <c r="AZ577" i="3"/>
  <c r="G9" i="1"/>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s="1"/>
  <c r="D23" i="77"/>
  <c r="W32" i="21"/>
  <c r="AC32" i="21"/>
  <c r="W40" i="21"/>
  <c r="AC40" i="21"/>
  <c r="U44" i="21"/>
  <c r="AB44" i="21"/>
  <c r="S21" i="37"/>
  <c r="AB23" i="35"/>
  <c r="U23" i="35"/>
  <c r="BL512" i="3"/>
  <c r="BL516" i="3"/>
  <c r="BL520" i="3"/>
  <c r="BL524" i="3"/>
  <c r="BL528" i="3"/>
  <c r="BL532" i="3"/>
  <c r="BL536" i="3"/>
  <c r="BL540" i="3"/>
  <c r="BL544" i="3"/>
  <c r="BL548" i="3"/>
  <c r="BL552" i="3"/>
  <c r="AZ552" i="3" s="1"/>
  <c r="BL556" i="3"/>
  <c r="AZ556" i="3"/>
  <c r="BL560" i="3"/>
  <c r="BL564" i="3"/>
  <c r="AZ564" i="3" s="1"/>
  <c r="BL568" i="3"/>
  <c r="BL572" i="3"/>
  <c r="BL576" i="3"/>
  <c r="AZ576" i="3" s="1"/>
  <c r="BA581" i="3"/>
  <c r="G586" i="3"/>
  <c r="S7" i="1"/>
  <c r="AQ7" i="1" s="1"/>
  <c r="M7" i="1"/>
  <c r="B7" i="1"/>
  <c r="E7" i="1"/>
  <c r="R7" i="1"/>
  <c r="F40" i="69"/>
  <c r="U19" i="34"/>
  <c r="U25" i="34"/>
  <c r="AB25" i="34"/>
  <c r="F28" i="34"/>
  <c r="F45" i="34"/>
  <c r="S47" i="34"/>
  <c r="C29" i="77"/>
  <c r="AB44" i="33"/>
  <c r="F13" i="35"/>
  <c r="H13" i="35"/>
  <c r="J13" i="35"/>
  <c r="BL580" i="3"/>
  <c r="BL584" i="3"/>
  <c r="E19" i="11"/>
  <c r="E19" i="68"/>
  <c r="B83" i="43"/>
  <c r="C15" i="40"/>
  <c r="B51" i="43"/>
  <c r="B62" i="43"/>
  <c r="B94" i="43"/>
  <c r="B73" i="43"/>
  <c r="C21" i="39"/>
  <c r="C8" i="74"/>
  <c r="A126" i="9"/>
  <c r="A12" i="52" s="1"/>
  <c r="B56" i="72" s="1"/>
  <c r="AB9" i="34"/>
  <c r="AA10" i="34"/>
  <c r="AB13" i="34"/>
  <c r="H17" i="34"/>
  <c r="AA21" i="34"/>
  <c r="AC30" i="34"/>
  <c r="AA31" i="34"/>
  <c r="AC36" i="34"/>
  <c r="AB39" i="34"/>
  <c r="AB42" i="34"/>
  <c r="J44" i="34"/>
  <c r="AC44" i="34" s="1"/>
  <c r="AC9" i="34"/>
  <c r="W9" i="34"/>
  <c r="AB12" i="34"/>
  <c r="U12" i="34"/>
  <c r="AC46" i="34"/>
  <c r="W46" i="34"/>
  <c r="R35" i="77"/>
  <c r="U34" i="77"/>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AC21" i="39"/>
  <c r="W21" i="39"/>
  <c r="AA36" i="39"/>
  <c r="S36" i="39"/>
  <c r="S11" i="1"/>
  <c r="AR11" i="1" s="1"/>
  <c r="M11" i="1"/>
  <c r="B11" i="1"/>
  <c r="E11" i="1"/>
  <c r="C94" i="9"/>
  <c r="AB10" i="34"/>
  <c r="AB14" i="34"/>
  <c r="AA19" i="34"/>
  <c r="AB21" i="34"/>
  <c r="AA33" i="34"/>
  <c r="AA35" i="34"/>
  <c r="AC39" i="34"/>
  <c r="AA30" i="34"/>
  <c r="S30" i="34"/>
  <c r="D22" i="67"/>
  <c r="D23" i="67"/>
  <c r="D7" i="77"/>
  <c r="C26" i="77" s="1"/>
  <c r="C32" i="77" s="1"/>
  <c r="C38" i="77" s="1"/>
  <c r="C39" i="77" s="1"/>
  <c r="AB8" i="21"/>
  <c r="U8" i="21"/>
  <c r="F29" i="21"/>
  <c r="H29" i="21"/>
  <c r="AA44" i="21"/>
  <c r="S44" i="21"/>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5" i="21"/>
  <c r="S17" i="21"/>
  <c r="S19" i="21"/>
  <c r="S21" i="21"/>
  <c r="S23" i="21"/>
  <c r="U25" i="21"/>
  <c r="W26" i="21"/>
  <c r="S32" i="21"/>
  <c r="U33" i="21"/>
  <c r="W34" i="21"/>
  <c r="S36" i="21"/>
  <c r="U37" i="21"/>
  <c r="W38" i="21"/>
  <c r="S40" i="21"/>
  <c r="U41" i="21"/>
  <c r="W42" i="21"/>
  <c r="S14" i="33"/>
  <c r="H19" i="33"/>
  <c r="AB19" i="33"/>
  <c r="E81" i="33"/>
  <c r="F81" i="33"/>
  <c r="G81" i="33" s="1"/>
  <c r="H23" i="33"/>
  <c r="AB23" i="33" s="1"/>
  <c r="E85" i="33"/>
  <c r="F85" i="33"/>
  <c r="G85" i="33" s="1"/>
  <c r="W31" i="37"/>
  <c r="AC31" i="37"/>
  <c r="S33" i="37"/>
  <c r="U38" i="37"/>
  <c r="AB38" i="37"/>
  <c r="W10" i="35"/>
  <c r="W20" i="35"/>
  <c r="AC20" i="35"/>
  <c r="S23" i="35"/>
  <c r="AA23" i="35"/>
  <c r="S31" i="35"/>
  <c r="S36" i="35"/>
  <c r="AA36" i="35"/>
  <c r="W14" i="36"/>
  <c r="H9" i="36"/>
  <c r="J9" i="36"/>
  <c r="F9" i="36"/>
  <c r="H33" i="36"/>
  <c r="J33" i="36"/>
  <c r="AC33" i="36" s="1"/>
  <c r="F33" i="36"/>
  <c r="W17" i="39"/>
  <c r="U21" i="39"/>
  <c r="AB21" i="39"/>
  <c r="U43" i="39"/>
  <c r="AB43" i="39"/>
  <c r="W44" i="39"/>
  <c r="S12" i="40"/>
  <c r="AA12" i="40"/>
  <c r="H31" i="40"/>
  <c r="S35" i="40"/>
  <c r="AC37" i="40"/>
  <c r="W37" i="40"/>
  <c r="J12" i="40"/>
  <c r="H12" i="40"/>
  <c r="H27" i="37"/>
  <c r="U27" i="37" s="1"/>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S25" i="21"/>
  <c r="U26" i="21"/>
  <c r="W31" i="21"/>
  <c r="S33" i="21"/>
  <c r="U34" i="21"/>
  <c r="W35" i="21"/>
  <c r="S37" i="21"/>
  <c r="U38" i="21"/>
  <c r="W39" i="21"/>
  <c r="S41" i="21"/>
  <c r="U42" i="21"/>
  <c r="W43" i="21"/>
  <c r="K144" i="21"/>
  <c r="F19" i="33"/>
  <c r="S19" i="33" s="1"/>
  <c r="J23" i="33"/>
  <c r="AC23" i="33" s="1"/>
  <c r="H30" i="33"/>
  <c r="AB30" i="33" s="1"/>
  <c r="F43" i="33"/>
  <c r="AA43" i="33" s="1"/>
  <c r="E125" i="33"/>
  <c r="F125" i="33" s="1"/>
  <c r="G125" i="33"/>
  <c r="J27" i="37"/>
  <c r="S40" i="37"/>
  <c r="H9" i="37"/>
  <c r="F9" i="37"/>
  <c r="H13" i="37"/>
  <c r="F13" i="37"/>
  <c r="AA13" i="37" s="1"/>
  <c r="AC28" i="37"/>
  <c r="W28" i="37"/>
  <c r="W8" i="35"/>
  <c r="AC8" i="35"/>
  <c r="S11" i="35"/>
  <c r="W16" i="35"/>
  <c r="AC16" i="35"/>
  <c r="U30" i="35"/>
  <c r="AB30" i="35"/>
  <c r="J34" i="35"/>
  <c r="S35" i="35"/>
  <c r="AA35" i="35"/>
  <c r="AC23" i="35"/>
  <c r="W23" i="35"/>
  <c r="S11" i="39"/>
  <c r="U25" i="39"/>
  <c r="AB25" i="39"/>
  <c r="S31" i="39"/>
  <c r="F37" i="39"/>
  <c r="S40" i="39"/>
  <c r="J12" i="39"/>
  <c r="H12" i="39"/>
  <c r="U9" i="40"/>
  <c r="C21" i="40"/>
  <c r="F31" i="40"/>
  <c r="AB32" i="40"/>
  <c r="S36" i="40"/>
  <c r="F38" i="40"/>
  <c r="AB39" i="40"/>
  <c r="U39" i="40"/>
  <c r="J39" i="40"/>
  <c r="AC39" i="40" s="1"/>
  <c r="F39" i="40"/>
  <c r="R10" i="79"/>
  <c r="AF10" i="79" s="1"/>
  <c r="R7" i="79"/>
  <c r="AF7" i="79"/>
  <c r="R8" i="79"/>
  <c r="AF8" i="79"/>
  <c r="V10" i="79"/>
  <c r="AJ10" i="79"/>
  <c r="V7" i="79"/>
  <c r="AJ7" i="79" s="1"/>
  <c r="V8" i="79"/>
  <c r="AJ8" i="79"/>
  <c r="O3" i="79"/>
  <c r="U19" i="79"/>
  <c r="AI19" i="79" s="1"/>
  <c r="U10" i="79"/>
  <c r="AI10" i="79" s="1"/>
  <c r="U11" i="79"/>
  <c r="AI11" i="79" s="1"/>
  <c r="U17" i="79"/>
  <c r="AI17" i="79"/>
  <c r="W40" i="33"/>
  <c r="S46" i="33"/>
  <c r="U10" i="37"/>
  <c r="W11" i="37"/>
  <c r="U14" i="37"/>
  <c r="U15" i="37"/>
  <c r="U17" i="37"/>
  <c r="U19" i="37"/>
  <c r="U21" i="37"/>
  <c r="U23" i="37"/>
  <c r="W25" i="37"/>
  <c r="U28" i="37"/>
  <c r="W29" i="37"/>
  <c r="AA31" i="37"/>
  <c r="S31" i="37"/>
  <c r="AB35" i="35"/>
  <c r="U35" i="35"/>
  <c r="T12" i="79"/>
  <c r="P12" i="79"/>
  <c r="T9" i="79"/>
  <c r="T6" i="79"/>
  <c r="T10" i="79"/>
  <c r="T3" i="79"/>
  <c r="W3" i="79" s="1"/>
  <c r="R17" i="79"/>
  <c r="AF17" i="79"/>
  <c r="R16" i="79"/>
  <c r="AF16" i="79"/>
  <c r="R13" i="79"/>
  <c r="AF13" i="79" s="1"/>
  <c r="R11" i="79"/>
  <c r="AF11" i="79"/>
  <c r="R12" i="79"/>
  <c r="AF12" i="79" s="1"/>
  <c r="R15" i="79"/>
  <c r="AF15" i="79" s="1"/>
  <c r="V17" i="79"/>
  <c r="AJ17" i="79"/>
  <c r="V11" i="79"/>
  <c r="AJ11" i="79"/>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J25" i="35"/>
  <c r="W25" i="35" s="1"/>
  <c r="C79" i="35"/>
  <c r="J26" i="35" s="1"/>
  <c r="AC36" i="35"/>
  <c r="W36" i="35"/>
  <c r="AB13" i="36"/>
  <c r="U13" i="36"/>
  <c r="AB25" i="36"/>
  <c r="U25" i="36"/>
  <c r="AA32" i="36"/>
  <c r="S32" i="36"/>
  <c r="AA8" i="39"/>
  <c r="J43" i="39"/>
  <c r="F43" i="39"/>
  <c r="S43" i="39" s="1"/>
  <c r="AA8" i="40"/>
  <c r="AB19" i="40"/>
  <c r="F32" i="40"/>
  <c r="H27" i="40"/>
  <c r="J27" i="40"/>
  <c r="V15" i="79"/>
  <c r="AJ15" i="79"/>
  <c r="Y3" i="79"/>
  <c r="P41" i="79"/>
  <c r="T41" i="79"/>
  <c r="T37" i="79"/>
  <c r="T33" i="79"/>
  <c r="T31" i="79"/>
  <c r="W31" i="79"/>
  <c r="T36" i="79"/>
  <c r="E44" i="43"/>
  <c r="C44" i="43"/>
  <c r="I18" i="43"/>
  <c r="G18" i="43"/>
  <c r="N3" i="79"/>
  <c r="R6" i="79"/>
  <c r="AF6" i="79"/>
  <c r="R3" i="79"/>
  <c r="R5" i="79"/>
  <c r="AF5" i="79" s="1"/>
  <c r="V6" i="79"/>
  <c r="AJ6" i="79" s="1"/>
  <c r="V3" i="79"/>
  <c r="V5" i="79"/>
  <c r="AJ5" i="79"/>
  <c r="U9" i="79"/>
  <c r="AI9" i="79"/>
  <c r="U6" i="79"/>
  <c r="AI6" i="79"/>
  <c r="U3" i="79"/>
  <c r="S10" i="79"/>
  <c r="AG10" i="79"/>
  <c r="U12" i="79"/>
  <c r="AI12" i="79" s="1"/>
  <c r="S13" i="79"/>
  <c r="AG13" i="79"/>
  <c r="S12" i="79"/>
  <c r="AG12" i="79"/>
  <c r="U14" i="79"/>
  <c r="AI14" i="79" s="1"/>
  <c r="U16" i="79"/>
  <c r="AI16" i="79" s="1"/>
  <c r="R23" i="79"/>
  <c r="AF23" i="79" s="1"/>
  <c r="R21" i="79"/>
  <c r="AF21" i="79" s="1"/>
  <c r="V23" i="79"/>
  <c r="AJ23" i="79" s="1"/>
  <c r="V22" i="79"/>
  <c r="AJ22" i="79"/>
  <c r="V21" i="79"/>
  <c r="AJ21" i="79" s="1"/>
  <c r="AD35" i="79"/>
  <c r="S38" i="79"/>
  <c r="AG38" i="79"/>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S35" i="39"/>
  <c r="S39" i="39"/>
  <c r="U40" i="39"/>
  <c r="AA14" i="40"/>
  <c r="S14" i="40"/>
  <c r="E83" i="43"/>
  <c r="B81" i="43"/>
  <c r="E93" i="43"/>
  <c r="B91" i="43"/>
  <c r="R9" i="79"/>
  <c r="AF9" i="79" s="1"/>
  <c r="V9" i="79"/>
  <c r="AJ9" i="79" s="1"/>
  <c r="S11" i="79"/>
  <c r="AG11" i="79"/>
  <c r="S8" i="79"/>
  <c r="AG8" i="79"/>
  <c r="V12" i="79"/>
  <c r="AJ12" i="79"/>
  <c r="W13" i="79"/>
  <c r="AK13" i="79"/>
  <c r="AH13" i="79"/>
  <c r="T18" i="79"/>
  <c r="P18" i="79"/>
  <c r="AH19" i="79"/>
  <c r="W19" i="79"/>
  <c r="AK19" i="79" s="1"/>
  <c r="T38" i="79"/>
  <c r="U39" i="79"/>
  <c r="AI39" i="79"/>
  <c r="U36" i="79"/>
  <c r="AI36" i="79" s="1"/>
  <c r="P44" i="79"/>
  <c r="T44" i="79"/>
  <c r="AA28" i="71"/>
  <c r="AA25" i="71"/>
  <c r="E11" i="43"/>
  <c r="E10" i="43"/>
  <c r="S3" i="79"/>
  <c r="S5" i="79"/>
  <c r="AG5" i="79"/>
  <c r="L3" i="79"/>
  <c r="P8" i="79"/>
  <c r="T8" i="79"/>
  <c r="T11" i="79"/>
  <c r="AH11" i="79" s="1"/>
  <c r="S16" i="79"/>
  <c r="AG16" i="79" s="1"/>
  <c r="S15" i="79"/>
  <c r="AG15" i="79" s="1"/>
  <c r="U18" i="79"/>
  <c r="AI18" i="79"/>
  <c r="U37" i="79"/>
  <c r="AI37" i="79"/>
  <c r="U47" i="79"/>
  <c r="AI47" i="79"/>
  <c r="U46" i="79"/>
  <c r="AI46" i="79"/>
  <c r="U40" i="79"/>
  <c r="AI40" i="79" s="1"/>
  <c r="AD46" i="79"/>
  <c r="AD48" i="79"/>
  <c r="S51" i="79"/>
  <c r="AG51" i="79"/>
  <c r="S47" i="79"/>
  <c r="AG47" i="79"/>
  <c r="S37" i="79"/>
  <c r="AG37" i="79"/>
  <c r="S33" i="79"/>
  <c r="AG33" i="79"/>
  <c r="AA16" i="71"/>
  <c r="AA10" i="71"/>
  <c r="AA9" i="71"/>
  <c r="AA22" i="71"/>
  <c r="AA19" i="71"/>
  <c r="AA21" i="71"/>
  <c r="AA18" i="71"/>
  <c r="AB23" i="71"/>
  <c r="AB22" i="71"/>
  <c r="T16" i="79"/>
  <c r="V19" i="79"/>
  <c r="AJ19" i="79"/>
  <c r="P22" i="79"/>
  <c r="T22" i="79"/>
  <c r="S36" i="79"/>
  <c r="AG36" i="79"/>
  <c r="AD37" i="79"/>
  <c r="U38" i="79"/>
  <c r="AI38" i="79"/>
  <c r="S40" i="79"/>
  <c r="AG40" i="79"/>
  <c r="U41" i="79"/>
  <c r="AI41" i="79" s="1"/>
  <c r="S42" i="79"/>
  <c r="AG42" i="79" s="1"/>
  <c r="T43" i="79"/>
  <c r="AH46" i="79"/>
  <c r="W46" i="79"/>
  <c r="AK46" i="79"/>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s="1"/>
  <c r="T48" i="79"/>
  <c r="AB3" i="71"/>
  <c r="AA11" i="71"/>
  <c r="AA12" i="71"/>
  <c r="AA15" i="71"/>
  <c r="AA17" i="71"/>
  <c r="Y18" i="71"/>
  <c r="Z18" i="71"/>
  <c r="AB18" i="71"/>
  <c r="C31" i="71"/>
  <c r="D31" i="71" s="1"/>
  <c r="D30" i="71"/>
  <c r="X36" i="71"/>
  <c r="X32" i="71"/>
  <c r="X24" i="71"/>
  <c r="X20" i="71"/>
  <c r="F38" i="71"/>
  <c r="F39" i="71" s="1"/>
  <c r="F40" i="71" s="1"/>
  <c r="V40" i="71" s="1"/>
  <c r="AB34" i="71"/>
  <c r="AB36" i="71"/>
  <c r="AB37" i="71"/>
  <c r="C44" i="71"/>
  <c r="D44" i="71" s="1"/>
  <c r="D43" i="71"/>
  <c r="D42" i="71"/>
  <c r="U13" i="79"/>
  <c r="AI13" i="79"/>
  <c r="R14" i="79"/>
  <c r="AF14" i="79" s="1"/>
  <c r="V14" i="79"/>
  <c r="AJ14" i="79" s="1"/>
  <c r="S19" i="79"/>
  <c r="AG19" i="79"/>
  <c r="T21" i="79"/>
  <c r="AH21" i="79" s="1"/>
  <c r="M31" i="79"/>
  <c r="P31" i="79" s="1"/>
  <c r="Z31" i="79"/>
  <c r="U34" i="79"/>
  <c r="AI34" i="79"/>
  <c r="T35" i="79"/>
  <c r="T39" i="79"/>
  <c r="U42" i="79"/>
  <c r="AI42" i="79" s="1"/>
  <c r="S44" i="79"/>
  <c r="AG44" i="79"/>
  <c r="U45" i="79"/>
  <c r="AI45" i="79"/>
  <c r="U48" i="79"/>
  <c r="AI48" i="79"/>
  <c r="T49" i="79"/>
  <c r="U49" i="79"/>
  <c r="AI49" i="79" s="1"/>
  <c r="AD50" i="79"/>
  <c r="T51" i="79"/>
  <c r="AB9" i="71"/>
  <c r="Y11" i="71"/>
  <c r="Z11" i="71"/>
  <c r="Y16" i="71"/>
  <c r="Z16" i="71"/>
  <c r="AA23" i="71"/>
  <c r="AA24" i="71"/>
  <c r="AB30" i="71"/>
  <c r="AB32" i="71"/>
  <c r="AB26" i="71"/>
  <c r="X37" i="71"/>
  <c r="D58" i="71"/>
  <c r="C59" i="71"/>
  <c r="O67" i="71"/>
  <c r="C66" i="71"/>
  <c r="O65" i="71" s="1"/>
  <c r="D67" i="71"/>
  <c r="S50" i="79"/>
  <c r="AG50" i="79" s="1"/>
  <c r="AB10" i="71"/>
  <c r="AB12" i="71"/>
  <c r="AA13" i="71"/>
  <c r="AB17" i="71"/>
  <c r="AB19" i="71"/>
  <c r="Y21" i="71"/>
  <c r="Z21" i="71"/>
  <c r="X22" i="71"/>
  <c r="X25" i="71"/>
  <c r="X26" i="71"/>
  <c r="X34" i="71"/>
  <c r="AB39" i="71"/>
  <c r="AB38" i="71"/>
  <c r="C51" i="71"/>
  <c r="D50" i="71"/>
  <c r="AB13" i="71"/>
  <c r="Y15" i="71"/>
  <c r="Z15" i="71" s="1"/>
  <c r="AB15" i="71"/>
  <c r="X17" i="71"/>
  <c r="AA20" i="71"/>
  <c r="Y23" i="71"/>
  <c r="Z23" i="71"/>
  <c r="Y19" i="71"/>
  <c r="Z19" i="71"/>
  <c r="B30" i="71"/>
  <c r="B31" i="71" s="1"/>
  <c r="B32" i="71" s="1"/>
  <c r="S32" i="71" s="1"/>
  <c r="X28" i="71"/>
  <c r="X29" i="71"/>
  <c r="AA29" i="71"/>
  <c r="AA32" i="71"/>
  <c r="AA31" i="71"/>
  <c r="E36" i="71"/>
  <c r="U36" i="71" s="1"/>
  <c r="F67" i="71"/>
  <c r="Q68" i="71"/>
  <c r="V68" i="71"/>
  <c r="X33" i="71"/>
  <c r="C39" i="71"/>
  <c r="D38" i="71"/>
  <c r="T72" i="71"/>
  <c r="D72" i="71"/>
  <c r="S76" i="71"/>
  <c r="E79" i="71"/>
  <c r="E78" i="71" s="1"/>
  <c r="U80" i="71"/>
  <c r="X12" i="71"/>
  <c r="Y13" i="71"/>
  <c r="Z13" i="71"/>
  <c r="X16" i="71"/>
  <c r="Y17" i="71"/>
  <c r="Z17" i="71"/>
  <c r="Y22" i="71"/>
  <c r="Z22" i="71"/>
  <c r="AB25" i="71"/>
  <c r="AA26" i="71"/>
  <c r="T28" i="71"/>
  <c r="D28" i="71"/>
  <c r="U28" i="71" s="1"/>
  <c r="C27" i="71"/>
  <c r="Y28" i="71"/>
  <c r="Z28" i="71"/>
  <c r="Y38" i="71"/>
  <c r="Z38" i="71"/>
  <c r="C63" i="71"/>
  <c r="C64" i="71" s="1"/>
  <c r="C71" i="71"/>
  <c r="D71" i="71" s="1"/>
  <c r="T76" i="71"/>
  <c r="D76" i="71"/>
  <c r="X19" i="71"/>
  <c r="B22" i="71"/>
  <c r="B21" i="71" s="1"/>
  <c r="B20" i="71" s="1"/>
  <c r="X23" i="71"/>
  <c r="AB27" i="71"/>
  <c r="AA30" i="71"/>
  <c r="E31" i="71"/>
  <c r="E32" i="71"/>
  <c r="U32" i="71"/>
  <c r="AA34" i="71"/>
  <c r="X35" i="71"/>
  <c r="Y36" i="71"/>
  <c r="Z36" i="71"/>
  <c r="Y37" i="71"/>
  <c r="Z37" i="71" s="1"/>
  <c r="T68" i="71"/>
  <c r="O68" i="71"/>
  <c r="D68" i="71"/>
  <c r="Y20" i="71"/>
  <c r="Z20" i="71"/>
  <c r="T24" i="71"/>
  <c r="D24" i="71"/>
  <c r="U24" i="71"/>
  <c r="C23" i="71"/>
  <c r="Y24" i="71"/>
  <c r="Z24" i="71" s="1"/>
  <c r="B26" i="71"/>
  <c r="X27" i="71"/>
  <c r="AB29" i="71"/>
  <c r="AB31" i="71"/>
  <c r="Y32" i="71"/>
  <c r="Z32" i="71"/>
  <c r="AA33" i="71"/>
  <c r="E59" i="71"/>
  <c r="E60" i="71"/>
  <c r="U60" i="71" s="1"/>
  <c r="E67" i="71"/>
  <c r="E66"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AQ10" i="1"/>
  <c r="F27" i="33"/>
  <c r="AA27" i="33"/>
  <c r="E91" i="33"/>
  <c r="U43" i="33"/>
  <c r="W43" i="33"/>
  <c r="S43" i="33"/>
  <c r="U23" i="33"/>
  <c r="W23" i="33"/>
  <c r="S23" i="33"/>
  <c r="U21" i="33"/>
  <c r="W21" i="33"/>
  <c r="S21" i="33"/>
  <c r="U19" i="33"/>
  <c r="W19" i="33"/>
  <c r="U42" i="33"/>
  <c r="W39" i="33"/>
  <c r="U35" i="33"/>
  <c r="W35" i="33"/>
  <c r="S35" i="33"/>
  <c r="S34" i="33"/>
  <c r="U34" i="33"/>
  <c r="W34" i="33"/>
  <c r="S32" i="33"/>
  <c r="U32" i="33"/>
  <c r="W32" i="33"/>
  <c r="U11" i="33"/>
  <c r="W11" i="33"/>
  <c r="S11" i="33"/>
  <c r="S38" i="33"/>
  <c r="W30" i="33"/>
  <c r="S30" i="33"/>
  <c r="U30" i="33"/>
  <c r="S27" i="33"/>
  <c r="W27" i="33"/>
  <c r="S9" i="33"/>
  <c r="U9" i="33"/>
  <c r="W9" i="33"/>
  <c r="AB8" i="33"/>
  <c r="D93" i="9"/>
  <c r="G1" i="69"/>
  <c r="B6" i="1"/>
  <c r="E6" i="1" s="1"/>
  <c r="K1" i="12"/>
  <c r="F3" i="35"/>
  <c r="G1" i="68"/>
  <c r="G1" i="15"/>
  <c r="D3" i="34"/>
  <c r="C34" i="34"/>
  <c r="J34" i="34" s="1"/>
  <c r="B14" i="74"/>
  <c r="B1" i="74" s="1"/>
  <c r="B3" i="36"/>
  <c r="Z7" i="43"/>
  <c r="N370" i="46"/>
  <c r="B116" i="43"/>
  <c r="B120" i="43" s="1"/>
  <c r="C120" i="43" s="1"/>
  <c r="N94" i="46"/>
  <c r="T9" i="1"/>
  <c r="AQ9" i="1"/>
  <c r="G8" i="1"/>
  <c r="G12" i="1"/>
  <c r="G10" i="1"/>
  <c r="C6" i="78"/>
  <c r="D6" i="78" s="1"/>
  <c r="C7" i="78"/>
  <c r="D7" i="78"/>
  <c r="C5" i="78"/>
  <c r="D5" i="78" s="1"/>
  <c r="D127" i="9"/>
  <c r="D13" i="52"/>
  <c r="K1" i="73"/>
  <c r="C26" i="71"/>
  <c r="D26" i="71" s="1"/>
  <c r="D27" i="71"/>
  <c r="C40" i="71"/>
  <c r="D39" i="71"/>
  <c r="F66" i="71"/>
  <c r="Q67" i="71"/>
  <c r="D66" i="71"/>
  <c r="AH35" i="79"/>
  <c r="W35" i="79"/>
  <c r="AK35" i="79" s="1"/>
  <c r="AH42" i="79"/>
  <c r="W42" i="79"/>
  <c r="AK42" i="79"/>
  <c r="AH14" i="79"/>
  <c r="W14" i="79"/>
  <c r="AK14" i="79"/>
  <c r="AH22" i="79"/>
  <c r="W22" i="79"/>
  <c r="AK22" i="79" s="1"/>
  <c r="AH8" i="79"/>
  <c r="W8" i="79"/>
  <c r="AK8" i="79"/>
  <c r="E17" i="43"/>
  <c r="AC43" i="39"/>
  <c r="W43" i="39"/>
  <c r="W10" i="79"/>
  <c r="AK10" i="79" s="1"/>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22" i="71"/>
  <c r="C52" i="71"/>
  <c r="T52" i="71" s="1"/>
  <c r="D51" i="71"/>
  <c r="C32" i="71"/>
  <c r="AH48" i="79"/>
  <c r="W48" i="79"/>
  <c r="AK48" i="79" s="1"/>
  <c r="D79" i="71"/>
  <c r="C78" i="71"/>
  <c r="D78" i="71" s="1"/>
  <c r="AH43" i="79"/>
  <c r="W43" i="79"/>
  <c r="AK43" i="79"/>
  <c r="W33" i="79"/>
  <c r="AK33" i="79"/>
  <c r="AH33" i="79"/>
  <c r="AC27" i="40"/>
  <c r="W27" i="40"/>
  <c r="W6" i="79"/>
  <c r="AK6" i="79"/>
  <c r="AH6" i="79"/>
  <c r="F26" i="35"/>
  <c r="AA26" i="35" s="1"/>
  <c r="AA31" i="40"/>
  <c r="S31" i="40"/>
  <c r="AC12" i="39"/>
  <c r="W12" i="39"/>
  <c r="AC34" i="35"/>
  <c r="W34" i="35"/>
  <c r="AA9" i="37"/>
  <c r="S9" i="37"/>
  <c r="AC38" i="40"/>
  <c r="W38" i="40"/>
  <c r="U9" i="35"/>
  <c r="AB9" i="35"/>
  <c r="W33" i="36"/>
  <c r="AB9" i="36"/>
  <c r="U9" i="36"/>
  <c r="AB11" i="36"/>
  <c r="U11" i="36"/>
  <c r="AA26" i="37"/>
  <c r="S26" i="37"/>
  <c r="AC30" i="21"/>
  <c r="W30" i="21"/>
  <c r="AA30" i="40"/>
  <c r="S30" i="40"/>
  <c r="AB23" i="36"/>
  <c r="U23" i="36"/>
  <c r="AA29" i="21"/>
  <c r="S29" i="21"/>
  <c r="AC44" i="21"/>
  <c r="W44" i="21"/>
  <c r="W13" i="35"/>
  <c r="AC13" i="35"/>
  <c r="E23" i="77"/>
  <c r="D38" i="77"/>
  <c r="D39" i="77"/>
  <c r="D29" i="77"/>
  <c r="D26" i="77"/>
  <c r="D32" i="77" s="1"/>
  <c r="AB45" i="34"/>
  <c r="U45" i="34"/>
  <c r="S32" i="34"/>
  <c r="AA32" i="34"/>
  <c r="U23" i="34"/>
  <c r="AB23" i="34"/>
  <c r="U12" i="33"/>
  <c r="AB12" i="33"/>
  <c r="AB28" i="34"/>
  <c r="U28" i="34"/>
  <c r="C60" i="71"/>
  <c r="D60" i="71" s="1"/>
  <c r="D59" i="71"/>
  <c r="AH49" i="79"/>
  <c r="W49" i="79"/>
  <c r="AK49" i="79"/>
  <c r="AH15" i="79"/>
  <c r="W15" i="79"/>
  <c r="AK15" i="79"/>
  <c r="W47" i="79"/>
  <c r="AK47" i="79" s="1"/>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51" i="79"/>
  <c r="AK51" i="79" s="1"/>
  <c r="AH51" i="79"/>
  <c r="AH39" i="79"/>
  <c r="W39" i="79"/>
  <c r="AK39" i="79"/>
  <c r="T44" i="71"/>
  <c r="AH34" i="79"/>
  <c r="W34" i="79"/>
  <c r="AK34" i="79"/>
  <c r="W50" i="79"/>
  <c r="AK50" i="79"/>
  <c r="AH50" i="79"/>
  <c r="AH16" i="79"/>
  <c r="W16" i="79"/>
  <c r="AK16" i="79"/>
  <c r="W44" i="79"/>
  <c r="AK44" i="79" s="1"/>
  <c r="AH44" i="79"/>
  <c r="AH38" i="79"/>
  <c r="W38" i="79"/>
  <c r="AK38" i="79"/>
  <c r="AH18" i="79"/>
  <c r="W18" i="79"/>
  <c r="AK18" i="79" s="1"/>
  <c r="W36" i="79"/>
  <c r="AK36" i="79" s="1"/>
  <c r="AH36" i="79"/>
  <c r="W41" i="79"/>
  <c r="AK41" i="79" s="1"/>
  <c r="AH41" i="79"/>
  <c r="S32" i="40"/>
  <c r="AA32" i="40"/>
  <c r="H26" i="35"/>
  <c r="U26" i="35" s="1"/>
  <c r="W39" i="40"/>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F91" i="33"/>
  <c r="G91" i="33"/>
  <c r="H91" i="33"/>
  <c r="I91" i="33" s="1"/>
  <c r="J91" i="33" s="1"/>
  <c r="K91" i="33" s="1"/>
  <c r="L91" i="33" s="1"/>
  <c r="M91" i="33" s="1"/>
  <c r="H27" i="33"/>
  <c r="F28" i="15"/>
  <c r="C28" i="15" s="1"/>
  <c r="F30" i="68"/>
  <c r="F48" i="68"/>
  <c r="D68" i="9"/>
  <c r="F48" i="9"/>
  <c r="O52" i="9"/>
  <c r="F60" i="67"/>
  <c r="M18" i="15"/>
  <c r="F31" i="12"/>
  <c r="F30" i="11"/>
  <c r="C48" i="11" s="1"/>
  <c r="F53" i="9"/>
  <c r="F52" i="9"/>
  <c r="M18" i="67"/>
  <c r="F32" i="15"/>
  <c r="F60" i="15"/>
  <c r="F30" i="69"/>
  <c r="F48" i="69"/>
  <c r="F54" i="9"/>
  <c r="D121" i="43"/>
  <c r="E121" i="43" s="1"/>
  <c r="F121" i="43" s="1"/>
  <c r="D120" i="43"/>
  <c r="E120" i="43" s="1"/>
  <c r="F120" i="43" s="1"/>
  <c r="G120" i="43" s="1"/>
  <c r="H120" i="43" s="1"/>
  <c r="D119" i="43"/>
  <c r="E119" i="43"/>
  <c r="F119" i="43"/>
  <c r="G119" i="43" s="1"/>
  <c r="H119" i="43" s="1"/>
  <c r="D118" i="43"/>
  <c r="E118" i="43"/>
  <c r="F118" i="43" s="1"/>
  <c r="G118" i="43"/>
  <c r="H118" i="43" s="1"/>
  <c r="B122" i="43"/>
  <c r="C122" i="43" s="1"/>
  <c r="B121" i="43"/>
  <c r="C121" i="43" s="1"/>
  <c r="B119" i="43"/>
  <c r="C119" i="43" s="1"/>
  <c r="B118" i="43"/>
  <c r="C118" i="43" s="1"/>
  <c r="I122" i="43"/>
  <c r="J122" i="43"/>
  <c r="K122" i="43" s="1"/>
  <c r="L122" i="43"/>
  <c r="M122" i="43" s="1"/>
  <c r="I121" i="43"/>
  <c r="J121" i="43" s="1"/>
  <c r="K121" i="43" s="1"/>
  <c r="L121" i="43" s="1"/>
  <c r="M121" i="43" s="1"/>
  <c r="I118" i="43"/>
  <c r="J118" i="43"/>
  <c r="K118" i="43" s="1"/>
  <c r="L118" i="43"/>
  <c r="M118" i="43" s="1"/>
  <c r="F34" i="34"/>
  <c r="S34" i="34"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c r="C7" i="33"/>
  <c r="C58" i="33"/>
  <c r="D58" i="33" s="1"/>
  <c r="E58" i="33" s="1"/>
  <c r="C7" i="34"/>
  <c r="C59" i="34"/>
  <c r="T32" i="71"/>
  <c r="D32" i="71"/>
  <c r="Q66" i="71"/>
  <c r="Q65" i="71"/>
  <c r="T60" i="71"/>
  <c r="T40" i="71"/>
  <c r="D40" i="71"/>
  <c r="E38" i="77"/>
  <c r="E39" i="77" s="1"/>
  <c r="C21" i="71"/>
  <c r="C20" i="71" s="1"/>
  <c r="D22" i="71"/>
  <c r="AB27" i="33"/>
  <c r="U27" i="33"/>
  <c r="C24" i="12"/>
  <c r="C13" i="12"/>
  <c r="C48" i="69"/>
  <c r="C30" i="69"/>
  <c r="C30" i="68"/>
  <c r="C31" i="12"/>
  <c r="C48" i="68"/>
  <c r="C77" i="9"/>
  <c r="C74" i="9"/>
  <c r="D48" i="35"/>
  <c r="C69" i="39"/>
  <c r="D21" i="71"/>
  <c r="C19" i="69"/>
  <c r="R26" i="31"/>
  <c r="S26" i="31" s="1"/>
  <c r="R27" i="31"/>
  <c r="S27" i="31" s="1"/>
  <c r="B7" i="76"/>
  <c r="J15" i="67"/>
  <c r="C76" i="67"/>
  <c r="D3" i="73"/>
  <c r="D2" i="21"/>
  <c r="E2" i="69"/>
  <c r="D2" i="36"/>
  <c r="E11" i="76"/>
  <c r="F6" i="15"/>
  <c r="F6" i="73"/>
  <c r="B9" i="76"/>
  <c r="F26" i="67"/>
  <c r="D2" i="34"/>
  <c r="D34" i="9"/>
  <c r="M23" i="15"/>
  <c r="E13" i="76"/>
  <c r="F38" i="67"/>
  <c r="J15" i="15"/>
  <c r="F41" i="15"/>
  <c r="F40" i="15"/>
  <c r="AO12" i="1"/>
  <c r="AO10" i="1"/>
  <c r="M6" i="67"/>
  <c r="F16" i="67"/>
  <c r="L47" i="67"/>
  <c r="AO11" i="1"/>
  <c r="F36" i="67"/>
  <c r="F43" i="15"/>
  <c r="F42" i="15"/>
  <c r="AO9" i="1"/>
  <c r="AO7" i="1"/>
  <c r="L48" i="67"/>
  <c r="F37" i="67"/>
  <c r="F40" i="67"/>
  <c r="F20" i="31"/>
  <c r="M6" i="15"/>
  <c r="M8" i="67"/>
  <c r="D35" i="9"/>
  <c r="F8" i="15"/>
  <c r="M21" i="15"/>
  <c r="L47" i="15"/>
  <c r="B8" i="76"/>
  <c r="E8" i="76"/>
  <c r="D7" i="73"/>
  <c r="F7" i="73"/>
  <c r="M23" i="67"/>
  <c r="AO8" i="1"/>
  <c r="D5" i="73"/>
  <c r="AO13" i="1"/>
  <c r="F38" i="15"/>
  <c r="M9" i="15"/>
  <c r="E9" i="76"/>
  <c r="E7" i="76"/>
  <c r="M29" i="15"/>
  <c r="M22" i="67"/>
  <c r="B10" i="76"/>
  <c r="B13" i="76"/>
  <c r="F9" i="67"/>
  <c r="D2" i="37"/>
  <c r="M28" i="67"/>
  <c r="D6" i="73"/>
  <c r="F4" i="73"/>
  <c r="E2" i="68"/>
  <c r="F42" i="67"/>
  <c r="F16" i="15"/>
  <c r="F8" i="67"/>
  <c r="M26" i="67"/>
  <c r="M24" i="67"/>
  <c r="F7" i="15"/>
  <c r="F3" i="73"/>
  <c r="M28" i="15"/>
  <c r="B11" i="76"/>
  <c r="E10" i="76"/>
  <c r="E12" i="76"/>
  <c r="M27" i="67"/>
  <c r="D4" i="73"/>
  <c r="B12" i="76"/>
  <c r="F37" i="15"/>
  <c r="F9" i="15"/>
  <c r="M9" i="67"/>
  <c r="F5" i="73"/>
  <c r="D2" i="35"/>
  <c r="F6" i="67"/>
  <c r="D2" i="33"/>
  <c r="AZ39" i="3" l="1"/>
  <c r="T20" i="71"/>
  <c r="D20" i="71"/>
  <c r="U20" i="71" s="1"/>
  <c r="C19" i="71"/>
  <c r="AZ98" i="3"/>
  <c r="AZ35" i="3"/>
  <c r="AZ67" i="3"/>
  <c r="P66" i="71"/>
  <c r="P65" i="71"/>
  <c r="C40" i="77"/>
  <c r="T64" i="71"/>
  <c r="D64" i="71"/>
  <c r="W27" i="34"/>
  <c r="AC27" i="34"/>
  <c r="E32" i="77"/>
  <c r="S20" i="71"/>
  <c r="B19" i="71"/>
  <c r="B18" i="71" s="1"/>
  <c r="B17" i="71" s="1"/>
  <c r="B16" i="71" s="1"/>
  <c r="X8" i="71"/>
  <c r="AA8" i="71"/>
  <c r="AB26" i="35"/>
  <c r="I120" i="43"/>
  <c r="J120" i="43" s="1"/>
  <c r="K120" i="43" s="1"/>
  <c r="L120" i="43" s="1"/>
  <c r="M120" i="43" s="1"/>
  <c r="W11" i="79"/>
  <c r="AK11" i="79" s="1"/>
  <c r="C70" i="71"/>
  <c r="D70" i="71" s="1"/>
  <c r="B15" i="78"/>
  <c r="BF5" i="3"/>
  <c r="BR5" i="3"/>
  <c r="BL67" i="3"/>
  <c r="AZ88" i="3"/>
  <c r="AZ93" i="3"/>
  <c r="AZ120" i="3"/>
  <c r="AZ192" i="3"/>
  <c r="AZ392" i="3"/>
  <c r="Y8" i="71"/>
  <c r="Z8" i="71" s="1"/>
  <c r="O66" i="71"/>
  <c r="B37" i="48"/>
  <c r="B2" i="72" s="1"/>
  <c r="C51" i="10"/>
  <c r="A13" i="51" s="1"/>
  <c r="B11" i="72" s="1"/>
  <c r="A4" i="52"/>
  <c r="B41" i="72" s="1"/>
  <c r="A2" i="9"/>
  <c r="BG5" i="3"/>
  <c r="BS5" i="3"/>
  <c r="F28" i="6" s="1"/>
  <c r="BL51" i="3"/>
  <c r="AZ51" i="3" s="1"/>
  <c r="BL64" i="3"/>
  <c r="BL76" i="3"/>
  <c r="AZ76" i="3" s="1"/>
  <c r="AZ79" i="3"/>
  <c r="AZ89" i="3"/>
  <c r="AZ91" i="3"/>
  <c r="AZ122" i="3"/>
  <c r="AZ216" i="3"/>
  <c r="AZ232" i="3"/>
  <c r="G121" i="43"/>
  <c r="H121" i="43" s="1"/>
  <c r="D122" i="43"/>
  <c r="E122" i="43" s="1"/>
  <c r="F122" i="43" s="1"/>
  <c r="G122" i="43" s="1"/>
  <c r="H122" i="43" s="1"/>
  <c r="AC25" i="35"/>
  <c r="AA19" i="33"/>
  <c r="BH5" i="3"/>
  <c r="BT5" i="3"/>
  <c r="G32" i="3"/>
  <c r="BL63" i="3"/>
  <c r="BA65" i="3"/>
  <c r="AZ65" i="3" s="1"/>
  <c r="BA68" i="3"/>
  <c r="AZ68" i="3" s="1"/>
  <c r="BL72" i="3"/>
  <c r="BL75" i="3"/>
  <c r="BA77" i="3"/>
  <c r="AZ77" i="3" s="1"/>
  <c r="BA78" i="3"/>
  <c r="AZ78" i="3" s="1"/>
  <c r="AZ85" i="3"/>
  <c r="BA90" i="3"/>
  <c r="AZ90" i="3" s="1"/>
  <c r="BA115" i="3"/>
  <c r="AZ115" i="3" s="1"/>
  <c r="AZ116" i="3"/>
  <c r="AZ142" i="3"/>
  <c r="G156" i="3"/>
  <c r="BA214" i="3"/>
  <c r="AZ280" i="3"/>
  <c r="AZ391" i="3"/>
  <c r="AZ64" i="3"/>
  <c r="BA66" i="3"/>
  <c r="AZ66" i="3" s="1"/>
  <c r="AZ87" i="3"/>
  <c r="BA111" i="3"/>
  <c r="AZ111" i="3" s="1"/>
  <c r="BA166" i="3"/>
  <c r="H5" i="3"/>
  <c r="F78" i="34"/>
  <c r="G78" i="34" s="1"/>
  <c r="F15" i="34"/>
  <c r="BJ5" i="3"/>
  <c r="BI5" i="3"/>
  <c r="BL34" i="3"/>
  <c r="BL35" i="3"/>
  <c r="BA38" i="3"/>
  <c r="AZ38" i="3" s="1"/>
  <c r="BL38" i="3"/>
  <c r="BA50" i="3"/>
  <c r="AZ50" i="3" s="1"/>
  <c r="BA63" i="3"/>
  <c r="AZ63" i="3" s="1"/>
  <c r="BA72" i="3"/>
  <c r="AZ72" i="3" s="1"/>
  <c r="BL74" i="3"/>
  <c r="AZ74" i="3" s="1"/>
  <c r="AZ86" i="3"/>
  <c r="BA110" i="3"/>
  <c r="AZ110" i="3" s="1"/>
  <c r="BA112" i="3"/>
  <c r="AZ112" i="3" s="1"/>
  <c r="AZ113" i="3"/>
  <c r="AZ211" i="3"/>
  <c r="H15" i="34"/>
  <c r="G24" i="78"/>
  <c r="AC5" i="3"/>
  <c r="BK5" i="3"/>
  <c r="BL17" i="3"/>
  <c r="BL19" i="3"/>
  <c r="AZ19" i="3" s="1"/>
  <c r="BL20" i="3"/>
  <c r="BL21" i="3"/>
  <c r="AZ21" i="3" s="1"/>
  <c r="BL32" i="3"/>
  <c r="BA37" i="3"/>
  <c r="AZ37" i="3" s="1"/>
  <c r="BL44" i="3"/>
  <c r="BL46" i="3"/>
  <c r="AZ46" i="3" s="1"/>
  <c r="BL47" i="3"/>
  <c r="BA48" i="3"/>
  <c r="AZ48" i="3" s="1"/>
  <c r="BA49" i="3"/>
  <c r="AZ49" i="3" s="1"/>
  <c r="BL60" i="3"/>
  <c r="BA61" i="3"/>
  <c r="AZ61" i="3" s="1"/>
  <c r="BA62" i="3"/>
  <c r="AZ62" i="3" s="1"/>
  <c r="AZ108" i="3"/>
  <c r="BA139" i="3"/>
  <c r="BA160" i="3"/>
  <c r="AZ160" i="3" s="1"/>
  <c r="AA43" i="39"/>
  <c r="AB27" i="37"/>
  <c r="D69" i="39"/>
  <c r="D59" i="34"/>
  <c r="E59" i="34" s="1"/>
  <c r="F59" i="34" s="1"/>
  <c r="G59" i="34" s="1"/>
  <c r="H59" i="34" s="1"/>
  <c r="I59" i="34" s="1"/>
  <c r="J59" i="34" s="1"/>
  <c r="K59" i="34" s="1"/>
  <c r="L59" i="34" s="1"/>
  <c r="M59" i="34" s="1"/>
  <c r="N59" i="34" s="1"/>
  <c r="O59" i="34" s="1"/>
  <c r="D52" i="71"/>
  <c r="D63" i="71"/>
  <c r="J15" i="34"/>
  <c r="D62" i="78"/>
  <c r="C62" i="78" s="1"/>
  <c r="BM5" i="3"/>
  <c r="BL13" i="3"/>
  <c r="BL16" i="3"/>
  <c r="AZ16" i="3" s="1"/>
  <c r="BL30" i="3"/>
  <c r="BL31" i="3"/>
  <c r="AZ31" i="3" s="1"/>
  <c r="BA33" i="3"/>
  <c r="AZ33" i="3" s="1"/>
  <c r="BA34" i="3"/>
  <c r="BL43" i="3"/>
  <c r="BA45" i="3"/>
  <c r="AZ45" i="3" s="1"/>
  <c r="BA47" i="3"/>
  <c r="AZ47" i="3" s="1"/>
  <c r="BA55" i="3"/>
  <c r="AZ55" i="3" s="1"/>
  <c r="BA60" i="3"/>
  <c r="AZ75" i="3"/>
  <c r="BA109" i="3"/>
  <c r="AZ109" i="3" s="1"/>
  <c r="BA138" i="3"/>
  <c r="AZ138" i="3" s="1"/>
  <c r="AZ158" i="3"/>
  <c r="AZ209" i="3"/>
  <c r="J7" i="34"/>
  <c r="B18" i="78"/>
  <c r="BN5" i="3"/>
  <c r="G29" i="6" s="1"/>
  <c r="BA17" i="3"/>
  <c r="AZ17" i="3" s="1"/>
  <c r="AZ20" i="3"/>
  <c r="BL24" i="3"/>
  <c r="BL28" i="3"/>
  <c r="BA32" i="3"/>
  <c r="AZ32" i="3" s="1"/>
  <c r="BA43" i="3"/>
  <c r="AZ43" i="3" s="1"/>
  <c r="BA44" i="3"/>
  <c r="AZ44" i="3" s="1"/>
  <c r="BA83" i="3"/>
  <c r="AZ83" i="3" s="1"/>
  <c r="G88" i="3"/>
  <c r="BA103" i="3"/>
  <c r="AZ103" i="3" s="1"/>
  <c r="BA107" i="3"/>
  <c r="AZ107" i="3" s="1"/>
  <c r="AZ119" i="3"/>
  <c r="BL133" i="3"/>
  <c r="AZ133" i="3" s="1"/>
  <c r="AZ137" i="3"/>
  <c r="BL175" i="3"/>
  <c r="AZ175" i="3" s="1"/>
  <c r="AZ181" i="3"/>
  <c r="F67" i="39"/>
  <c r="S26" i="35"/>
  <c r="W21" i="79"/>
  <c r="AK21" i="79" s="1"/>
  <c r="P67" i="71"/>
  <c r="AZ215" i="3"/>
  <c r="AZ167" i="3"/>
  <c r="BO5" i="3"/>
  <c r="BA30" i="3"/>
  <c r="BL123" i="3"/>
  <c r="AZ123" i="3" s="1"/>
  <c r="BL131" i="3"/>
  <c r="AZ131" i="3" s="1"/>
  <c r="AZ162" i="3"/>
  <c r="AZ242" i="3"/>
  <c r="D116" i="43"/>
  <c r="C30" i="11"/>
  <c r="E29" i="77"/>
  <c r="I119" i="43"/>
  <c r="J119" i="43" s="1"/>
  <c r="K119" i="43" s="1"/>
  <c r="L119" i="43" s="1"/>
  <c r="M119" i="43" s="1"/>
  <c r="K56" i="9"/>
  <c r="J56" i="9"/>
  <c r="J57" i="9" s="1"/>
  <c r="J59" i="9" s="1"/>
  <c r="J61" i="9" s="1"/>
  <c r="BP5" i="3"/>
  <c r="BA24" i="3"/>
  <c r="AZ24" i="3" s="1"/>
  <c r="AZ28" i="3"/>
  <c r="BA42" i="3"/>
  <c r="AZ42" i="3" s="1"/>
  <c r="AZ54" i="3"/>
  <c r="AZ59" i="3"/>
  <c r="BL91" i="3"/>
  <c r="BL92" i="3"/>
  <c r="AZ92" i="3" s="1"/>
  <c r="AZ136" i="3"/>
  <c r="AZ240" i="3"/>
  <c r="E26" i="77"/>
  <c r="T11" i="1"/>
  <c r="T7" i="1"/>
  <c r="AB8" i="71"/>
  <c r="BD5" i="3"/>
  <c r="BC5" i="3"/>
  <c r="BA14" i="3"/>
  <c r="AZ14" i="3" s="1"/>
  <c r="BE5" i="3"/>
  <c r="AZ27" i="3"/>
  <c r="AZ29" i="3"/>
  <c r="G76" i="3"/>
  <c r="BA97" i="3"/>
  <c r="AZ97" i="3" s="1"/>
  <c r="AZ99" i="3"/>
  <c r="BA124" i="3"/>
  <c r="AZ124" i="3" s="1"/>
  <c r="G140" i="3"/>
  <c r="AZ172" i="3"/>
  <c r="BA152" i="3"/>
  <c r="AZ152" i="3" s="1"/>
  <c r="BL166" i="3"/>
  <c r="BA179" i="3"/>
  <c r="AZ179" i="3" s="1"/>
  <c r="BL180" i="3"/>
  <c r="AZ180" i="3" s="1"/>
  <c r="BA234" i="3"/>
  <c r="AZ234" i="3" s="1"/>
  <c r="BA246" i="3"/>
  <c r="AZ246" i="3" s="1"/>
  <c r="AZ327" i="3"/>
  <c r="AZ345" i="3"/>
  <c r="AZ349" i="3"/>
  <c r="AZ352" i="3"/>
  <c r="AZ413" i="3"/>
  <c r="BL500" i="3"/>
  <c r="A19" i="51"/>
  <c r="B14" i="72" s="1"/>
  <c r="BL141" i="3"/>
  <c r="BL169" i="3"/>
  <c r="BL184" i="3"/>
  <c r="BL185" i="3"/>
  <c r="BA222" i="3"/>
  <c r="AZ222" i="3" s="1"/>
  <c r="BL240" i="3"/>
  <c r="BL246" i="3"/>
  <c r="BL304" i="3"/>
  <c r="BL308" i="3"/>
  <c r="G328" i="3"/>
  <c r="BL341" i="3"/>
  <c r="AZ341" i="3" s="1"/>
  <c r="BL400" i="3"/>
  <c r="AZ400" i="3" s="1"/>
  <c r="BL457" i="3"/>
  <c r="AZ457" i="3" s="1"/>
  <c r="BL458" i="3"/>
  <c r="AZ458" i="3" s="1"/>
  <c r="BL119" i="3"/>
  <c r="BL139" i="3"/>
  <c r="BA155" i="3"/>
  <c r="AZ155" i="3" s="1"/>
  <c r="BL156" i="3"/>
  <c r="BL192" i="3"/>
  <c r="BL195" i="3"/>
  <c r="BL196" i="3"/>
  <c r="AZ196" i="3" s="1"/>
  <c r="BL211" i="3"/>
  <c r="BA253" i="3"/>
  <c r="AZ253" i="3" s="1"/>
  <c r="BA286" i="3"/>
  <c r="G293" i="3"/>
  <c r="BL305" i="3"/>
  <c r="BA309" i="3"/>
  <c r="BL316" i="3"/>
  <c r="BL317" i="3"/>
  <c r="AZ317" i="3" s="1"/>
  <c r="BA403" i="3"/>
  <c r="AZ410" i="3"/>
  <c r="U40" i="33"/>
  <c r="AB40" i="33"/>
  <c r="BA140" i="3"/>
  <c r="AZ140" i="3" s="1"/>
  <c r="BA156" i="3"/>
  <c r="AZ156" i="3" s="1"/>
  <c r="BA168" i="3"/>
  <c r="AZ168" i="3" s="1"/>
  <c r="BA169" i="3"/>
  <c r="BA182" i="3"/>
  <c r="AZ182" i="3" s="1"/>
  <c r="AZ184" i="3"/>
  <c r="AZ185" i="3"/>
  <c r="AZ304" i="3"/>
  <c r="AZ305" i="3"/>
  <c r="AZ308" i="3"/>
  <c r="AZ340" i="3"/>
  <c r="BA141" i="3"/>
  <c r="AZ141" i="3" s="1"/>
  <c r="BA157" i="3"/>
  <c r="AZ157" i="3" s="1"/>
  <c r="BL158" i="3"/>
  <c r="BL171" i="3"/>
  <c r="AZ171" i="3" s="1"/>
  <c r="BL191" i="3"/>
  <c r="AZ191" i="3" s="1"/>
  <c r="BA193" i="3"/>
  <c r="AZ193" i="3" s="1"/>
  <c r="BA194" i="3"/>
  <c r="AZ194" i="3" s="1"/>
  <c r="G222" i="3"/>
  <c r="BA245" i="3"/>
  <c r="AZ245" i="3" s="1"/>
  <c r="BA254" i="3"/>
  <c r="AZ254" i="3" s="1"/>
  <c r="BL263" i="3"/>
  <c r="AZ263" i="3" s="1"/>
  <c r="BA265" i="3"/>
  <c r="AZ265" i="3" s="1"/>
  <c r="BA269" i="3"/>
  <c r="AZ269" i="3" s="1"/>
  <c r="BA272" i="3"/>
  <c r="AZ272" i="3" s="1"/>
  <c r="BL274" i="3"/>
  <c r="BL276" i="3"/>
  <c r="AZ276" i="3" s="1"/>
  <c r="G285" i="3"/>
  <c r="BL297" i="3"/>
  <c r="BL299" i="3"/>
  <c r="BL301" i="3"/>
  <c r="BL303" i="3"/>
  <c r="AZ303" i="3" s="1"/>
  <c r="BA306" i="3"/>
  <c r="AZ306" i="3" s="1"/>
  <c r="BL309" i="3"/>
  <c r="BA312" i="3"/>
  <c r="AZ312" i="3" s="1"/>
  <c r="BL323" i="3"/>
  <c r="BL328" i="3"/>
  <c r="BL332" i="3"/>
  <c r="BL334" i="3"/>
  <c r="AZ334" i="3" s="1"/>
  <c r="AZ336" i="3"/>
  <c r="BA343" i="3"/>
  <c r="AZ343" i="3" s="1"/>
  <c r="AZ393" i="3"/>
  <c r="BA399" i="3"/>
  <c r="AZ399" i="3" s="1"/>
  <c r="AZ407" i="3"/>
  <c r="AZ442" i="3"/>
  <c r="BA104" i="3"/>
  <c r="AZ104" i="3" s="1"/>
  <c r="BL145" i="3"/>
  <c r="AZ145" i="3" s="1"/>
  <c r="G164" i="3"/>
  <c r="G177" i="3"/>
  <c r="BA190" i="3"/>
  <c r="AZ190" i="3" s="1"/>
  <c r="G217" i="3"/>
  <c r="BL228" i="3"/>
  <c r="AZ252" i="3"/>
  <c r="BA257" i="3"/>
  <c r="AZ257" i="3" s="1"/>
  <c r="BA258" i="3"/>
  <c r="AZ258" i="3" s="1"/>
  <c r="BA260" i="3"/>
  <c r="AZ260" i="3" s="1"/>
  <c r="BA264" i="3"/>
  <c r="AZ264" i="3" s="1"/>
  <c r="BA268" i="3"/>
  <c r="AZ268" i="3" s="1"/>
  <c r="BA274" i="3"/>
  <c r="AZ274" i="3" s="1"/>
  <c r="BL291" i="3"/>
  <c r="AZ291" i="3" s="1"/>
  <c r="BA300" i="3"/>
  <c r="AZ300" i="3" s="1"/>
  <c r="BA302" i="3"/>
  <c r="AZ302" i="3" s="1"/>
  <c r="AZ315" i="3"/>
  <c r="BA321" i="3"/>
  <c r="AZ321" i="3" s="1"/>
  <c r="BA323" i="3"/>
  <c r="AZ492" i="3"/>
  <c r="AC25" i="33"/>
  <c r="W25" i="33"/>
  <c r="E5" i="6"/>
  <c r="G116" i="3"/>
  <c r="BA130" i="3"/>
  <c r="AZ130" i="3" s="1"/>
  <c r="BA144" i="3"/>
  <c r="AZ144" i="3" s="1"/>
  <c r="BA147" i="3"/>
  <c r="AZ147" i="3" s="1"/>
  <c r="BA188" i="3"/>
  <c r="AZ188" i="3" s="1"/>
  <c r="AZ203" i="3"/>
  <c r="BL224" i="3"/>
  <c r="BL225" i="3"/>
  <c r="AZ225" i="3" s="1"/>
  <c r="BL230" i="3"/>
  <c r="BL235" i="3"/>
  <c r="BA275" i="3"/>
  <c r="AZ275" i="3" s="1"/>
  <c r="BA278" i="3"/>
  <c r="AZ278" i="3" s="1"/>
  <c r="BL289" i="3"/>
  <c r="BA290" i="3"/>
  <c r="AZ290" i="3" s="1"/>
  <c r="BA294" i="3"/>
  <c r="AZ294" i="3" s="1"/>
  <c r="BA297" i="3"/>
  <c r="AZ297" i="3" s="1"/>
  <c r="BA316" i="3"/>
  <c r="AZ329" i="3"/>
  <c r="BA332" i="3"/>
  <c r="AZ332" i="3" s="1"/>
  <c r="AZ432" i="3"/>
  <c r="AZ446" i="3"/>
  <c r="BA540" i="3"/>
  <c r="AZ540" i="3" s="1"/>
  <c r="BA105" i="3"/>
  <c r="AZ105" i="3" s="1"/>
  <c r="BA146" i="3"/>
  <c r="AZ146" i="3" s="1"/>
  <c r="BA148" i="3"/>
  <c r="AZ148" i="3" s="1"/>
  <c r="BL174" i="3"/>
  <c r="BA195" i="3"/>
  <c r="BA200" i="3"/>
  <c r="AZ200" i="3" s="1"/>
  <c r="BA201" i="3"/>
  <c r="BA202" i="3"/>
  <c r="AZ202" i="3" s="1"/>
  <c r="BA204" i="3"/>
  <c r="AZ204" i="3" s="1"/>
  <c r="BL208" i="3"/>
  <c r="AZ208" i="3" s="1"/>
  <c r="BL222" i="3"/>
  <c r="BL223" i="3"/>
  <c r="AZ223" i="3" s="1"/>
  <c r="BA228" i="3"/>
  <c r="AZ228" i="3" s="1"/>
  <c r="BA229" i="3"/>
  <c r="BA230" i="3"/>
  <c r="AZ230" i="3" s="1"/>
  <c r="BA281" i="3"/>
  <c r="AZ281" i="3" s="1"/>
  <c r="BA283" i="3"/>
  <c r="AZ283" i="3" s="1"/>
  <c r="BA289" i="3"/>
  <c r="BA293" i="3"/>
  <c r="AZ293" i="3" s="1"/>
  <c r="S13" i="21"/>
  <c r="AA13" i="21"/>
  <c r="J9" i="21"/>
  <c r="F9" i="21"/>
  <c r="H9" i="21"/>
  <c r="BA149" i="3"/>
  <c r="AZ149" i="3" s="1"/>
  <c r="BL201" i="3"/>
  <c r="BA205" i="3"/>
  <c r="AZ205" i="3" s="1"/>
  <c r="BL213" i="3"/>
  <c r="BL214" i="3"/>
  <c r="BL217" i="3"/>
  <c r="BA220" i="3"/>
  <c r="AZ220" i="3" s="1"/>
  <c r="BL229" i="3"/>
  <c r="BA235" i="3"/>
  <c r="BL236" i="3"/>
  <c r="AZ236" i="3" s="1"/>
  <c r="BA251" i="3"/>
  <c r="AZ251" i="3" s="1"/>
  <c r="BL286" i="3"/>
  <c r="BA328" i="3"/>
  <c r="AZ328" i="3" s="1"/>
  <c r="BL353" i="3"/>
  <c r="AZ353" i="3" s="1"/>
  <c r="BA357" i="3"/>
  <c r="BA359" i="3"/>
  <c r="AZ359" i="3" s="1"/>
  <c r="BA434" i="3"/>
  <c r="AZ434" i="3" s="1"/>
  <c r="G102" i="3"/>
  <c r="G142" i="3"/>
  <c r="BA150" i="3"/>
  <c r="AZ150" i="3" s="1"/>
  <c r="BA161" i="3"/>
  <c r="AZ161" i="3" s="1"/>
  <c r="BA174" i="3"/>
  <c r="BL177" i="3"/>
  <c r="AZ177" i="3" s="1"/>
  <c r="BA189" i="3"/>
  <c r="AZ189" i="3" s="1"/>
  <c r="BA206" i="3"/>
  <c r="AZ206" i="3" s="1"/>
  <c r="BL207" i="3"/>
  <c r="AZ207" i="3" s="1"/>
  <c r="BA219" i="3"/>
  <c r="BL219" i="3"/>
  <c r="BA221" i="3"/>
  <c r="AZ221" i="3" s="1"/>
  <c r="BL241" i="3"/>
  <c r="G250" i="3"/>
  <c r="BL281" i="3"/>
  <c r="BA288" i="3"/>
  <c r="AZ288" i="3" s="1"/>
  <c r="AZ348" i="3"/>
  <c r="BA356" i="3"/>
  <c r="BA366" i="3"/>
  <c r="AZ366" i="3" s="1"/>
  <c r="BA488" i="3"/>
  <c r="AZ488" i="3" s="1"/>
  <c r="BA176" i="3"/>
  <c r="AZ176" i="3" s="1"/>
  <c r="BL179" i="3"/>
  <c r="G182" i="3"/>
  <c r="BL206" i="3"/>
  <c r="BA212" i="3"/>
  <c r="AZ212" i="3" s="1"/>
  <c r="BA213" i="3"/>
  <c r="AZ213" i="3" s="1"/>
  <c r="BA217" i="3"/>
  <c r="AZ217" i="3" s="1"/>
  <c r="BA218" i="3"/>
  <c r="AZ218" i="3" s="1"/>
  <c r="BA224" i="3"/>
  <c r="BL239" i="3"/>
  <c r="AZ239" i="3" s="1"/>
  <c r="BA241" i="3"/>
  <c r="AZ241" i="3" s="1"/>
  <c r="BL248" i="3"/>
  <c r="AZ248" i="3" s="1"/>
  <c r="G255" i="3"/>
  <c r="BA256" i="3"/>
  <c r="AZ256" i="3" s="1"/>
  <c r="BA301" i="3"/>
  <c r="AZ301" i="3" s="1"/>
  <c r="BA320" i="3"/>
  <c r="AZ320" i="3" s="1"/>
  <c r="G337" i="3"/>
  <c r="AZ422" i="3"/>
  <c r="BL481" i="3"/>
  <c r="AZ481" i="3" s="1"/>
  <c r="BL506" i="3"/>
  <c r="AZ506" i="3" s="1"/>
  <c r="BA507" i="3"/>
  <c r="AZ554" i="3"/>
  <c r="BA267" i="3"/>
  <c r="AZ267" i="3" s="1"/>
  <c r="BA292" i="3"/>
  <c r="AZ292" i="3" s="1"/>
  <c r="BA318" i="3"/>
  <c r="AZ318" i="3" s="1"/>
  <c r="AZ363" i="3"/>
  <c r="AZ364" i="3"/>
  <c r="BA365" i="3"/>
  <c r="AZ365" i="3" s="1"/>
  <c r="BL412" i="3"/>
  <c r="AZ412" i="3" s="1"/>
  <c r="BL437" i="3"/>
  <c r="BL461" i="3"/>
  <c r="BA486" i="3"/>
  <c r="AZ486" i="3" s="1"/>
  <c r="AZ500" i="3"/>
  <c r="AZ501" i="3"/>
  <c r="BA505" i="3"/>
  <c r="BA510" i="3"/>
  <c r="AZ510" i="3" s="1"/>
  <c r="AB15" i="21"/>
  <c r="U15" i="21"/>
  <c r="BA261" i="3"/>
  <c r="AZ261" i="3" s="1"/>
  <c r="BA299" i="3"/>
  <c r="AZ299" i="3" s="1"/>
  <c r="G302" i="3"/>
  <c r="G333" i="3"/>
  <c r="G342" i="3"/>
  <c r="BA346" i="3"/>
  <c r="AZ346" i="3" s="1"/>
  <c r="BA355" i="3"/>
  <c r="AZ355" i="3" s="1"/>
  <c r="BA367" i="3"/>
  <c r="AZ367" i="3" s="1"/>
  <c r="BA368" i="3"/>
  <c r="AZ368" i="3" s="1"/>
  <c r="BA369" i="3"/>
  <c r="AZ369" i="3" s="1"/>
  <c r="BL407" i="3"/>
  <c r="G418" i="3"/>
  <c r="BA419" i="3"/>
  <c r="AZ419" i="3" s="1"/>
  <c r="BL432" i="3"/>
  <c r="BA435" i="3"/>
  <c r="AZ435" i="3" s="1"/>
  <c r="BA437" i="3"/>
  <c r="AZ437" i="3" s="1"/>
  <c r="BL456" i="3"/>
  <c r="AZ456" i="3" s="1"/>
  <c r="BA459" i="3"/>
  <c r="AZ459" i="3" s="1"/>
  <c r="AZ460" i="3"/>
  <c r="BA461" i="3"/>
  <c r="BL480" i="3"/>
  <c r="AZ480" i="3" s="1"/>
  <c r="BA484" i="3"/>
  <c r="AZ484" i="3" s="1"/>
  <c r="AZ485" i="3"/>
  <c r="BL495" i="3"/>
  <c r="AZ495" i="3" s="1"/>
  <c r="BA497" i="3"/>
  <c r="AZ497" i="3" s="1"/>
  <c r="G532" i="3"/>
  <c r="BA539" i="3"/>
  <c r="AZ539" i="3" s="1"/>
  <c r="BA542" i="3"/>
  <c r="AZ542" i="3" s="1"/>
  <c r="AB25" i="33"/>
  <c r="U25" i="33"/>
  <c r="BL314" i="3"/>
  <c r="G329" i="3"/>
  <c r="BL339" i="3"/>
  <c r="BL340" i="3"/>
  <c r="BL372" i="3"/>
  <c r="BL374" i="3"/>
  <c r="BA375" i="3"/>
  <c r="AZ375" i="3" s="1"/>
  <c r="BL379" i="3"/>
  <c r="BL383" i="3"/>
  <c r="BL436" i="3"/>
  <c r="AZ436" i="3" s="1"/>
  <c r="BA439" i="3"/>
  <c r="AZ439" i="3" s="1"/>
  <c r="BA440" i="3"/>
  <c r="AZ440" i="3" s="1"/>
  <c r="BA441" i="3"/>
  <c r="AZ441" i="3" s="1"/>
  <c r="BL443" i="3"/>
  <c r="BL460" i="3"/>
  <c r="BA463" i="3"/>
  <c r="AZ463" i="3" s="1"/>
  <c r="BA464" i="3"/>
  <c r="AZ464" i="3" s="1"/>
  <c r="BA465" i="3"/>
  <c r="AZ465" i="3" s="1"/>
  <c r="BL518" i="3"/>
  <c r="BL527" i="3"/>
  <c r="BL529" i="3"/>
  <c r="AZ529" i="3" s="1"/>
  <c r="BA535" i="3"/>
  <c r="AZ535" i="3" s="1"/>
  <c r="AZ546" i="3"/>
  <c r="BA575" i="3"/>
  <c r="AZ579" i="3"/>
  <c r="AC41" i="34"/>
  <c r="W41" i="34"/>
  <c r="G290" i="3"/>
  <c r="BA314" i="3"/>
  <c r="BL338" i="3"/>
  <c r="G345" i="3"/>
  <c r="BL350" i="3"/>
  <c r="G358" i="3"/>
  <c r="BA373" i="3"/>
  <c r="AZ373" i="3" s="1"/>
  <c r="BA374" i="3"/>
  <c r="AZ374" i="3" s="1"/>
  <c r="BL377" i="3"/>
  <c r="BL378" i="3"/>
  <c r="BA379" i="3"/>
  <c r="BA380" i="3"/>
  <c r="AZ380" i="3" s="1"/>
  <c r="BL381" i="3"/>
  <c r="BL382" i="3"/>
  <c r="BA383" i="3"/>
  <c r="AZ383" i="3" s="1"/>
  <c r="BL386" i="3"/>
  <c r="BL398" i="3"/>
  <c r="G401" i="3"/>
  <c r="BA411" i="3"/>
  <c r="AZ411" i="3" s="1"/>
  <c r="BA415" i="3"/>
  <c r="AZ415" i="3" s="1"/>
  <c r="BL421" i="3"/>
  <c r="G427" i="3"/>
  <c r="BL445" i="3"/>
  <c r="BL469" i="3"/>
  <c r="BL494" i="3"/>
  <c r="BL513" i="3"/>
  <c r="AZ513" i="3" s="1"/>
  <c r="BL519" i="3"/>
  <c r="BA523" i="3"/>
  <c r="AZ523" i="3" s="1"/>
  <c r="BA528" i="3"/>
  <c r="AZ528" i="3" s="1"/>
  <c r="BA536" i="3"/>
  <c r="AZ536" i="3" s="1"/>
  <c r="F44" i="34"/>
  <c r="AA44" i="34" s="1"/>
  <c r="H44" i="34"/>
  <c r="BL287" i="3"/>
  <c r="AZ287" i="3" s="1"/>
  <c r="BL288" i="3"/>
  <c r="BA337" i="3"/>
  <c r="AZ337" i="3" s="1"/>
  <c r="BA338" i="3"/>
  <c r="BA339" i="3"/>
  <c r="BL342" i="3"/>
  <c r="BA372" i="3"/>
  <c r="AZ372" i="3" s="1"/>
  <c r="BA377" i="3"/>
  <c r="AZ377" i="3" s="1"/>
  <c r="AZ378" i="3"/>
  <c r="BA381" i="3"/>
  <c r="AZ381" i="3" s="1"/>
  <c r="AZ382" i="3"/>
  <c r="AZ396" i="3"/>
  <c r="BA414" i="3"/>
  <c r="AZ414" i="3" s="1"/>
  <c r="AZ416" i="3"/>
  <c r="BL420" i="3"/>
  <c r="BL423" i="3"/>
  <c r="BL425" i="3"/>
  <c r="BA443" i="3"/>
  <c r="BA444" i="3"/>
  <c r="AZ444" i="3" s="1"/>
  <c r="BA445" i="3"/>
  <c r="BA467" i="3"/>
  <c r="AZ467" i="3" s="1"/>
  <c r="BA468" i="3"/>
  <c r="BA469" i="3"/>
  <c r="AZ469" i="3" s="1"/>
  <c r="BA489" i="3"/>
  <c r="AZ489" i="3" s="1"/>
  <c r="BA494" i="3"/>
  <c r="AZ494" i="3" s="1"/>
  <c r="BA518" i="3"/>
  <c r="AZ518" i="3" s="1"/>
  <c r="C21" i="68"/>
  <c r="C40" i="68"/>
  <c r="F40" i="68"/>
  <c r="BL322" i="3"/>
  <c r="G325" i="3"/>
  <c r="G346" i="3"/>
  <c r="G356" i="3"/>
  <c r="G359" i="3"/>
  <c r="BA385" i="3"/>
  <c r="AZ385" i="3" s="1"/>
  <c r="BA386" i="3"/>
  <c r="AZ386" i="3" s="1"/>
  <c r="BA397" i="3"/>
  <c r="AZ397" i="3" s="1"/>
  <c r="BA398" i="3"/>
  <c r="BA421" i="3"/>
  <c r="AZ421" i="3" s="1"/>
  <c r="G431" i="3"/>
  <c r="BL449" i="3"/>
  <c r="BL473" i="3"/>
  <c r="BL511" i="3"/>
  <c r="BA512" i="3"/>
  <c r="AZ512" i="3" s="1"/>
  <c r="BA524" i="3"/>
  <c r="AZ524" i="3" s="1"/>
  <c r="BA527" i="3"/>
  <c r="AZ567" i="3"/>
  <c r="H110" i="9"/>
  <c r="D124" i="9"/>
  <c r="BL310" i="3"/>
  <c r="BA350" i="3"/>
  <c r="BL352" i="3"/>
  <c r="G363" i="3"/>
  <c r="BA376" i="3"/>
  <c r="AZ376" i="3" s="1"/>
  <c r="BL390" i="3"/>
  <c r="G393" i="3"/>
  <c r="G410" i="3"/>
  <c r="BA420" i="3"/>
  <c r="BA423" i="3"/>
  <c r="AZ423" i="3" s="1"/>
  <c r="BA424" i="3"/>
  <c r="AZ424" i="3" s="1"/>
  <c r="BA425" i="3"/>
  <c r="AZ425" i="3" s="1"/>
  <c r="BL427" i="3"/>
  <c r="AZ427" i="3" s="1"/>
  <c r="BL429" i="3"/>
  <c r="BL444" i="3"/>
  <c r="BA447" i="3"/>
  <c r="AZ447" i="3" s="1"/>
  <c r="BA448" i="3"/>
  <c r="BA449" i="3"/>
  <c r="AZ449" i="3" s="1"/>
  <c r="BL468" i="3"/>
  <c r="BA471" i="3"/>
  <c r="AZ471" i="3" s="1"/>
  <c r="BA472" i="3"/>
  <c r="BA473" i="3"/>
  <c r="AZ473" i="3" s="1"/>
  <c r="G500" i="3"/>
  <c r="BA511" i="3"/>
  <c r="BA516" i="3"/>
  <c r="AZ516" i="3" s="1"/>
  <c r="BA566" i="3"/>
  <c r="AZ566" i="3" s="1"/>
  <c r="BL271" i="3"/>
  <c r="BA282" i="3"/>
  <c r="AZ282" i="3" s="1"/>
  <c r="BA310" i="3"/>
  <c r="BA322" i="3"/>
  <c r="AZ322" i="3" s="1"/>
  <c r="BA333" i="3"/>
  <c r="AZ333" i="3" s="1"/>
  <c r="BA342" i="3"/>
  <c r="AZ342" i="3" s="1"/>
  <c r="BL344" i="3"/>
  <c r="AZ344" i="3" s="1"/>
  <c r="BL357" i="3"/>
  <c r="G367" i="3"/>
  <c r="BL385" i="3"/>
  <c r="BA388" i="3"/>
  <c r="AZ388" i="3" s="1"/>
  <c r="BL403" i="3"/>
  <c r="BL404" i="3"/>
  <c r="AZ404" i="3" s="1"/>
  <c r="G435" i="3"/>
  <c r="BL453" i="3"/>
  <c r="BL477" i="3"/>
  <c r="G489" i="3"/>
  <c r="G498" i="3"/>
  <c r="BL507" i="3"/>
  <c r="BA509" i="3"/>
  <c r="AZ509" i="3" s="1"/>
  <c r="BL534" i="3"/>
  <c r="BL555" i="3"/>
  <c r="AZ555" i="3" s="1"/>
  <c r="BL559" i="3"/>
  <c r="AZ559" i="3" s="1"/>
  <c r="BL583" i="3"/>
  <c r="BA587" i="3"/>
  <c r="G7" i="1"/>
  <c r="U35" i="34"/>
  <c r="AB35" i="34"/>
  <c r="BA271" i="3"/>
  <c r="AZ271" i="3" s="1"/>
  <c r="G279" i="3"/>
  <c r="BL356" i="3"/>
  <c r="BL360" i="3"/>
  <c r="AZ360" i="3" s="1"/>
  <c r="BL361" i="3"/>
  <c r="AZ361" i="3" s="1"/>
  <c r="BA389" i="3"/>
  <c r="AZ389" i="3" s="1"/>
  <c r="BA390" i="3"/>
  <c r="AZ390" i="3" s="1"/>
  <c r="BL408" i="3"/>
  <c r="AZ408" i="3" s="1"/>
  <c r="BL424" i="3"/>
  <c r="BA428" i="3"/>
  <c r="AZ428" i="3" s="1"/>
  <c r="BA429" i="3"/>
  <c r="BL433" i="3"/>
  <c r="AZ433" i="3" s="1"/>
  <c r="BL448" i="3"/>
  <c r="BA452" i="3"/>
  <c r="AZ452" i="3" s="1"/>
  <c r="BA453" i="3"/>
  <c r="AZ453" i="3" s="1"/>
  <c r="BL472" i="3"/>
  <c r="BA476" i="3"/>
  <c r="AZ476" i="3" s="1"/>
  <c r="BA477" i="3"/>
  <c r="AZ477" i="3" s="1"/>
  <c r="BL505" i="3"/>
  <c r="BA508" i="3"/>
  <c r="AZ508" i="3" s="1"/>
  <c r="BA534" i="3"/>
  <c r="AC33" i="21"/>
  <c r="W33" i="21"/>
  <c r="G511" i="3"/>
  <c r="BA531" i="3"/>
  <c r="AZ531" i="3" s="1"/>
  <c r="BA560" i="3"/>
  <c r="AZ560" i="3" s="1"/>
  <c r="BA562" i="3"/>
  <c r="AZ562" i="3" s="1"/>
  <c r="BL569" i="3"/>
  <c r="AZ569" i="3" s="1"/>
  <c r="G582" i="3"/>
  <c r="D7" i="74"/>
  <c r="U33" i="37"/>
  <c r="AB33" i="37"/>
  <c r="U36" i="40"/>
  <c r="AB36" i="40"/>
  <c r="BL509" i="3"/>
  <c r="BA532" i="3"/>
  <c r="AZ532" i="3" s="1"/>
  <c r="BA568" i="3"/>
  <c r="AZ568" i="3" s="1"/>
  <c r="BA571" i="3"/>
  <c r="AZ571" i="3" s="1"/>
  <c r="BL575" i="3"/>
  <c r="BL578" i="3"/>
  <c r="AC11" i="34"/>
  <c r="W11" i="34"/>
  <c r="BL499" i="3"/>
  <c r="AZ499" i="3" s="1"/>
  <c r="BL526" i="3"/>
  <c r="BA543" i="3"/>
  <c r="AZ543" i="3" s="1"/>
  <c r="BL545" i="3"/>
  <c r="AZ545" i="3" s="1"/>
  <c r="G551" i="3"/>
  <c r="BA572" i="3"/>
  <c r="AZ572" i="3" s="1"/>
  <c r="BA574" i="3"/>
  <c r="AZ574" i="3" s="1"/>
  <c r="K13" i="1"/>
  <c r="M13" i="1" s="1"/>
  <c r="R13" i="1"/>
  <c r="S13" i="1"/>
  <c r="AR13" i="1" s="1"/>
  <c r="AB38" i="34"/>
  <c r="U38" i="34"/>
  <c r="W41" i="21"/>
  <c r="AC41" i="21"/>
  <c r="BA526" i="3"/>
  <c r="AZ526" i="3" s="1"/>
  <c r="BA544" i="3"/>
  <c r="AZ544" i="3" s="1"/>
  <c r="BA578" i="3"/>
  <c r="G554" i="3"/>
  <c r="BL581" i="3"/>
  <c r="AZ581" i="3" s="1"/>
  <c r="BL585" i="3"/>
  <c r="BL586" i="3"/>
  <c r="AZ586" i="3" s="1"/>
  <c r="K12" i="1"/>
  <c r="M12" i="1" s="1"/>
  <c r="S12" i="1"/>
  <c r="AR12" i="1" s="1"/>
  <c r="J46" i="21"/>
  <c r="F46" i="21"/>
  <c r="H46" i="21"/>
  <c r="AB10" i="33"/>
  <c r="U10" i="33"/>
  <c r="BA519" i="3"/>
  <c r="AZ519" i="3" s="1"/>
  <c r="G523" i="3"/>
  <c r="BA547" i="3"/>
  <c r="AZ547" i="3" s="1"/>
  <c r="G563" i="3"/>
  <c r="BA583" i="3"/>
  <c r="AZ583" i="3" s="1"/>
  <c r="B12" i="1"/>
  <c r="E12" i="1" s="1"/>
  <c r="S39" i="34"/>
  <c r="AA26" i="21"/>
  <c r="F27" i="21"/>
  <c r="J27" i="21"/>
  <c r="H27" i="21"/>
  <c r="BL538" i="3"/>
  <c r="BL550" i="3"/>
  <c r="BA585" i="3"/>
  <c r="E80" i="34"/>
  <c r="F80" i="34" s="1"/>
  <c r="G80" i="34" s="1"/>
  <c r="F17" i="34"/>
  <c r="U21" i="21"/>
  <c r="AB21" i="21"/>
  <c r="J28" i="21"/>
  <c r="H28" i="21"/>
  <c r="F28" i="21"/>
  <c r="BA520" i="3"/>
  <c r="AZ520" i="3" s="1"/>
  <c r="BA548" i="3"/>
  <c r="AZ548" i="3" s="1"/>
  <c r="BL551" i="3"/>
  <c r="AZ551" i="3" s="1"/>
  <c r="BL554" i="3"/>
  <c r="G566" i="3"/>
  <c r="G569" i="3"/>
  <c r="BA580" i="3"/>
  <c r="AZ580" i="3" s="1"/>
  <c r="BA584" i="3"/>
  <c r="AZ584" i="3" s="1"/>
  <c r="BL587" i="3"/>
  <c r="S12" i="21"/>
  <c r="K141" i="21"/>
  <c r="K143" i="21"/>
  <c r="BL514" i="3"/>
  <c r="AZ514" i="3" s="1"/>
  <c r="BA538" i="3"/>
  <c r="BA550" i="3"/>
  <c r="AZ550" i="3" s="1"/>
  <c r="BL557" i="3"/>
  <c r="AZ557" i="3" s="1"/>
  <c r="G575" i="3"/>
  <c r="AC25" i="21"/>
  <c r="W25" i="21"/>
  <c r="W36" i="21"/>
  <c r="AC36" i="21"/>
  <c r="J13" i="33"/>
  <c r="F13" i="33"/>
  <c r="H13" i="33"/>
  <c r="H29" i="33"/>
  <c r="J29" i="33"/>
  <c r="F29" i="33"/>
  <c r="H45" i="33"/>
  <c r="J45" i="33"/>
  <c r="AB36" i="21"/>
  <c r="U40" i="21"/>
  <c r="AA28" i="37"/>
  <c r="S28" i="37"/>
  <c r="S32" i="37"/>
  <c r="AB16" i="35"/>
  <c r="U16" i="35"/>
  <c r="W19" i="21"/>
  <c r="J14" i="21"/>
  <c r="F14" i="21"/>
  <c r="AB37" i="37"/>
  <c r="U37" i="37"/>
  <c r="U20" i="35"/>
  <c r="AB20" i="35"/>
  <c r="AA29" i="36"/>
  <c r="S29" i="36"/>
  <c r="R10" i="1"/>
  <c r="W33" i="34"/>
  <c r="F39" i="37"/>
  <c r="H39" i="37"/>
  <c r="J39" i="37"/>
  <c r="S10" i="35"/>
  <c r="AA10" i="35"/>
  <c r="W30" i="37"/>
  <c r="AC30" i="37"/>
  <c r="AC8" i="36"/>
  <c r="W8" i="36"/>
  <c r="K9" i="1"/>
  <c r="M9" i="1" s="1"/>
  <c r="B9" i="1"/>
  <c r="E9" i="1" s="1"/>
  <c r="F14" i="34"/>
  <c r="J29" i="34"/>
  <c r="U47" i="34"/>
  <c r="U19" i="21"/>
  <c r="F31" i="21"/>
  <c r="U8" i="37"/>
  <c r="AC31" i="36"/>
  <c r="W31" i="36"/>
  <c r="B8" i="1"/>
  <c r="E8" i="1" s="1"/>
  <c r="R11" i="1"/>
  <c r="J13" i="21"/>
  <c r="J45" i="39"/>
  <c r="F45" i="39"/>
  <c r="H45" i="39"/>
  <c r="J47" i="34"/>
  <c r="J42" i="33"/>
  <c r="F42" i="33"/>
  <c r="W16" i="36"/>
  <c r="AC16" i="36"/>
  <c r="S11" i="40"/>
  <c r="AA11" i="40"/>
  <c r="R19" i="77"/>
  <c r="R5" i="77" s="1"/>
  <c r="U5" i="77" s="1"/>
  <c r="W9" i="37"/>
  <c r="AC9" i="37"/>
  <c r="W26" i="37"/>
  <c r="AC26" i="37"/>
  <c r="AA25" i="36"/>
  <c r="S25" i="36"/>
  <c r="U38" i="39"/>
  <c r="AB38" i="39"/>
  <c r="AC22" i="35"/>
  <c r="W22" i="35"/>
  <c r="AA14" i="36"/>
  <c r="S14" i="36"/>
  <c r="U41" i="39"/>
  <c r="AB41" i="39"/>
  <c r="J13" i="39"/>
  <c r="F13" i="39"/>
  <c r="U25" i="40"/>
  <c r="AB25" i="40"/>
  <c r="S12" i="35"/>
  <c r="AA16" i="36"/>
  <c r="AC28" i="40"/>
  <c r="W28" i="40"/>
  <c r="F33" i="40"/>
  <c r="J33" i="40"/>
  <c r="H33" i="40"/>
  <c r="W25" i="39"/>
  <c r="AC25" i="39"/>
  <c r="AC8" i="40"/>
  <c r="W8" i="40"/>
  <c r="AC21" i="40"/>
  <c r="W21" i="40"/>
  <c r="F28" i="33"/>
  <c r="H28" i="33"/>
  <c r="J28" i="33"/>
  <c r="AC28" i="33" s="1"/>
  <c r="AB13" i="39"/>
  <c r="U13" i="39"/>
  <c r="S32" i="35"/>
  <c r="AA32" i="35"/>
  <c r="F25" i="35"/>
  <c r="H25" i="35"/>
  <c r="AA27" i="40"/>
  <c r="S27" i="40"/>
  <c r="U40" i="40"/>
  <c r="AB40" i="40"/>
  <c r="W32" i="36"/>
  <c r="AC32" i="36"/>
  <c r="AB19" i="39"/>
  <c r="U19" i="39"/>
  <c r="J12" i="37"/>
  <c r="U31" i="37"/>
  <c r="S38" i="37"/>
  <c r="AA38" i="37"/>
  <c r="W20" i="36"/>
  <c r="U23" i="40"/>
  <c r="AB23" i="40"/>
  <c r="U18" i="35"/>
  <c r="AB32" i="39"/>
  <c r="U32" i="39"/>
  <c r="AC40" i="40"/>
  <c r="W40" i="40"/>
  <c r="AC24" i="36"/>
  <c r="W29" i="39"/>
  <c r="AC29" i="39"/>
  <c r="AA34" i="40"/>
  <c r="F44" i="39"/>
  <c r="J14" i="39"/>
  <c r="F14" i="39"/>
  <c r="AC19" i="40"/>
  <c r="J32" i="40"/>
  <c r="AB37" i="40"/>
  <c r="U37" i="40"/>
  <c r="S13" i="36"/>
  <c r="W31" i="39"/>
  <c r="AA34" i="39"/>
  <c r="S34" i="39"/>
  <c r="AB33" i="35"/>
  <c r="W39" i="39"/>
  <c r="F13" i="40"/>
  <c r="J51" i="67"/>
  <c r="N32" i="43"/>
  <c r="Q32" i="43"/>
  <c r="P32" i="43"/>
  <c r="O32" i="43"/>
  <c r="M32" i="43"/>
  <c r="T7" i="79"/>
  <c r="P7" i="79"/>
  <c r="S14" i="79"/>
  <c r="AG14" i="79" s="1"/>
  <c r="S9" i="79"/>
  <c r="AG9" i="79" s="1"/>
  <c r="K3" i="79"/>
  <c r="C47" i="71"/>
  <c r="D47" i="71" s="1"/>
  <c r="D46" i="71"/>
  <c r="E23" i="71"/>
  <c r="E22" i="71" s="1"/>
  <c r="E21" i="71" s="1"/>
  <c r="E20" i="71" s="1"/>
  <c r="V24" i="71"/>
  <c r="G13" i="3"/>
  <c r="G5" i="3" s="1"/>
  <c r="B3" i="3" s="1"/>
  <c r="T5" i="79"/>
  <c r="P6" i="79"/>
  <c r="U8" i="79"/>
  <c r="AI8" i="79" s="1"/>
  <c r="U7" i="79"/>
  <c r="AI7" i="79" s="1"/>
  <c r="N67" i="71"/>
  <c r="B66" i="71"/>
  <c r="D54" i="71"/>
  <c r="C55" i="71"/>
  <c r="S21" i="79"/>
  <c r="AG21" i="79" s="1"/>
  <c r="Y12" i="71"/>
  <c r="Z12" i="71" s="1"/>
  <c r="Y30" i="71"/>
  <c r="Z30" i="71" s="1"/>
  <c r="P46" i="79"/>
  <c r="X21" i="71"/>
  <c r="Y33" i="71"/>
  <c r="Z33" i="71" s="1"/>
  <c r="AA3" i="79"/>
  <c r="AD3" i="79" s="1"/>
  <c r="C34" i="71"/>
  <c r="U76" i="71"/>
  <c r="D83" i="71"/>
  <c r="T17" i="79"/>
  <c r="X14" i="71"/>
  <c r="B71" i="71"/>
  <c r="B70" i="71" s="1"/>
  <c r="N2" i="43"/>
  <c r="E28" i="71"/>
  <c r="F79" i="71"/>
  <c r="F78" i="71" s="1"/>
  <c r="BA13" i="3"/>
  <c r="F28" i="71"/>
  <c r="F27" i="71" s="1"/>
  <c r="F26" i="71" s="1"/>
  <c r="C87" i="71"/>
  <c r="H26" i="43"/>
  <c r="J26" i="43"/>
  <c r="O21" i="43"/>
  <c r="N7" i="43"/>
  <c r="M7" i="43"/>
  <c r="C5" i="11"/>
  <c r="X9" i="71"/>
  <c r="AA37" i="71"/>
  <c r="M6" i="43"/>
  <c r="N6" i="43"/>
  <c r="C18" i="9"/>
  <c r="D18" i="9" s="1"/>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T8" i="1"/>
  <c r="AA34" i="34"/>
  <c r="H34" i="34"/>
  <c r="AQ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AZ13" i="3"/>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K51" i="43" s="1"/>
  <c r="S2" i="43"/>
  <c r="H57" i="43"/>
  <c r="G57" i="43" s="1"/>
  <c r="H55" i="43"/>
  <c r="G55" i="43" s="1"/>
  <c r="H53" i="43"/>
  <c r="G53" i="43" s="1"/>
  <c r="M53" i="43" s="1"/>
  <c r="H68" i="43"/>
  <c r="G68" i="43" s="1"/>
  <c r="K68" i="43" s="1"/>
  <c r="J68" i="43" s="1"/>
  <c r="D68" i="43" s="1"/>
  <c r="H64" i="43"/>
  <c r="G64" i="43" s="1"/>
  <c r="K64" i="43" s="1"/>
  <c r="N21" i="43"/>
  <c r="J21" i="43"/>
  <c r="H67" i="43"/>
  <c r="G67" i="43" s="1"/>
  <c r="K67" i="43" s="1"/>
  <c r="H63" i="43"/>
  <c r="G63" i="43" s="1"/>
  <c r="M63" i="43" s="1"/>
  <c r="N63" i="43" s="1"/>
  <c r="C21" i="43"/>
  <c r="M21" i="43"/>
  <c r="I21" i="43"/>
  <c r="H50" i="43"/>
  <c r="G50" i="43" s="1"/>
  <c r="H58" i="43"/>
  <c r="G58" i="43" s="1"/>
  <c r="H56" i="43"/>
  <c r="G56" i="43" s="1"/>
  <c r="H54" i="43"/>
  <c r="G54" i="43" s="1"/>
  <c r="H21" i="43"/>
  <c r="F26" i="43"/>
  <c r="D26" i="43" s="1"/>
  <c r="N53" i="43"/>
  <c r="D53" i="43"/>
  <c r="K69" i="43"/>
  <c r="M69" i="43"/>
  <c r="N69" i="43" s="1"/>
  <c r="K65" i="43"/>
  <c r="M65" i="43"/>
  <c r="N65" i="43" s="1"/>
  <c r="J52" i="43"/>
  <c r="D52" i="43"/>
  <c r="K63" i="43"/>
  <c r="M58" i="43"/>
  <c r="N58" i="43" s="1"/>
  <c r="K58" i="43"/>
  <c r="K61" i="43"/>
  <c r="M61" i="43"/>
  <c r="N61" i="43" s="1"/>
  <c r="C6" i="43"/>
  <c r="K53" i="43"/>
  <c r="J53" i="43" s="1"/>
  <c r="H62" i="43"/>
  <c r="G62" i="43" s="1"/>
  <c r="D46" i="36"/>
  <c r="E46" i="36" s="1"/>
  <c r="F46" i="36" s="1"/>
  <c r="G46" i="36" s="1"/>
  <c r="H46" i="36" s="1"/>
  <c r="I46" i="36" s="1"/>
  <c r="J46" i="36" s="1"/>
  <c r="K46" i="36" s="1"/>
  <c r="L46" i="36" s="1"/>
  <c r="M46" i="36" s="1"/>
  <c r="N46" i="36" s="1"/>
  <c r="O46" i="36" s="1"/>
  <c r="H7" i="36"/>
  <c r="E48" i="35"/>
  <c r="F48" i="35" s="1"/>
  <c r="G48" i="35" s="1"/>
  <c r="H48" i="35" s="1"/>
  <c r="I48" i="35" s="1"/>
  <c r="J48" i="35" s="1"/>
  <c r="K48" i="35" s="1"/>
  <c r="L48" i="35" s="1"/>
  <c r="M48" i="35" s="1"/>
  <c r="N48" i="35" s="1"/>
  <c r="O48" i="35" s="1"/>
  <c r="J7" i="35"/>
  <c r="D52" i="37"/>
  <c r="G6" i="1"/>
  <c r="I24" i="43"/>
  <c r="C24" i="43" s="1"/>
  <c r="F58" i="33"/>
  <c r="H7" i="34"/>
  <c r="F7" i="21"/>
  <c r="J7" i="21"/>
  <c r="H7" i="21"/>
  <c r="C65" i="40"/>
  <c r="D63" i="40"/>
  <c r="O23" i="43"/>
  <c r="A1" i="79"/>
  <c r="P28" i="43"/>
  <c r="B66" i="40" s="1"/>
  <c r="P29" i="43"/>
  <c r="P27" i="43"/>
  <c r="B70" i="39" s="1"/>
  <c r="P25" i="43"/>
  <c r="P26" i="43"/>
  <c r="N59" i="15"/>
  <c r="L59" i="15"/>
  <c r="M59" i="15"/>
  <c r="C6" i="15"/>
  <c r="M7" i="15"/>
  <c r="F50" i="15"/>
  <c r="B12" i="70"/>
  <c r="B9" i="70"/>
  <c r="B10" i="70"/>
  <c r="B11" i="70"/>
  <c r="J53" i="67"/>
  <c r="L57" i="67"/>
  <c r="I54" i="67"/>
  <c r="J57" i="67"/>
  <c r="J55" i="67" s="1"/>
  <c r="J58" i="67" s="1"/>
  <c r="Q50" i="67" s="1"/>
  <c r="L60" i="67"/>
  <c r="L56" i="67"/>
  <c r="F65" i="67"/>
  <c r="F64" i="67"/>
  <c r="I1" i="73"/>
  <c r="B39" i="1" s="1"/>
  <c r="F51" i="67"/>
  <c r="F65" i="15"/>
  <c r="J20" i="15"/>
  <c r="F68" i="15"/>
  <c r="B8" i="70"/>
  <c r="F68" i="67"/>
  <c r="C27" i="67"/>
  <c r="F66" i="67"/>
  <c r="F51" i="15"/>
  <c r="F69" i="15"/>
  <c r="F66" i="15"/>
  <c r="F71" i="15"/>
  <c r="B13" i="70"/>
  <c r="B7" i="70"/>
  <c r="M59" i="67"/>
  <c r="L58" i="67"/>
  <c r="L59" i="67"/>
  <c r="N59" i="67"/>
  <c r="Q71" i="67"/>
  <c r="G1" i="73"/>
  <c r="B40" i="1" s="1"/>
  <c r="F35" i="15"/>
  <c r="F36" i="15"/>
  <c r="M26" i="15"/>
  <c r="M8" i="15"/>
  <c r="C14" i="15"/>
  <c r="L48" i="15"/>
  <c r="M24" i="15"/>
  <c r="F7" i="67"/>
  <c r="F26" i="15"/>
  <c r="C16" i="15"/>
  <c r="C76" i="15"/>
  <c r="M29" i="67"/>
  <c r="C17" i="15"/>
  <c r="F13" i="15"/>
  <c r="M22" i="15"/>
  <c r="F43" i="67"/>
  <c r="M27" i="15"/>
  <c r="Q71" i="15" l="1"/>
  <c r="C27" i="15"/>
  <c r="I54" i="15"/>
  <c r="J53" i="15"/>
  <c r="L56" i="15" s="1"/>
  <c r="J57" i="15"/>
  <c r="J55" i="15" s="1"/>
  <c r="J58" i="15" s="1"/>
  <c r="Q50" i="15" s="1"/>
  <c r="L58" i="15"/>
  <c r="C15" i="15"/>
  <c r="C18" i="15"/>
  <c r="F64" i="15"/>
  <c r="F63" i="15"/>
  <c r="C62" i="15" s="1"/>
  <c r="C34" i="15"/>
  <c r="J51" i="43"/>
  <c r="D51" i="43"/>
  <c r="AH5" i="79"/>
  <c r="W5" i="79"/>
  <c r="AA33" i="40"/>
  <c r="S33" i="40"/>
  <c r="S17" i="34"/>
  <c r="AA17" i="34"/>
  <c r="AZ472" i="3"/>
  <c r="AZ420" i="3"/>
  <c r="AZ527" i="3"/>
  <c r="AZ468" i="3"/>
  <c r="AZ235" i="3"/>
  <c r="AZ286" i="3"/>
  <c r="AC9" i="21"/>
  <c r="W9" i="21"/>
  <c r="M67" i="43"/>
  <c r="N67" i="43" s="1"/>
  <c r="G67" i="39"/>
  <c r="F69" i="39"/>
  <c r="F7" i="35"/>
  <c r="M68" i="43"/>
  <c r="N68" i="43" s="1"/>
  <c r="T13" i="1"/>
  <c r="V28" i="71"/>
  <c r="E27" i="71"/>
  <c r="E26" i="71" s="1"/>
  <c r="W32" i="40"/>
  <c r="AC32" i="40"/>
  <c r="AB28" i="33"/>
  <c r="U28" i="33"/>
  <c r="W45" i="33"/>
  <c r="AC45" i="33"/>
  <c r="AZ585" i="3"/>
  <c r="AZ445" i="3"/>
  <c r="F7" i="34"/>
  <c r="M51" i="43"/>
  <c r="N51" i="43" s="1"/>
  <c r="E10" i="6"/>
  <c r="E16" i="6" s="1"/>
  <c r="E19" i="71"/>
  <c r="E18" i="71" s="1"/>
  <c r="E17" i="71" s="1"/>
  <c r="E16" i="71" s="1"/>
  <c r="V20" i="71"/>
  <c r="AA28" i="33"/>
  <c r="S28" i="33"/>
  <c r="U45" i="33"/>
  <c r="AB45" i="33"/>
  <c r="AZ578" i="3"/>
  <c r="AZ429" i="3"/>
  <c r="BL5" i="3"/>
  <c r="AZ139" i="3"/>
  <c r="M64" i="43"/>
  <c r="N64" i="43" s="1"/>
  <c r="BA5" i="3"/>
  <c r="E27" i="6" s="1"/>
  <c r="K66" i="43"/>
  <c r="E12" i="6"/>
  <c r="AA14" i="39"/>
  <c r="S14" i="39"/>
  <c r="AA42" i="33"/>
  <c r="S42" i="33"/>
  <c r="AA31" i="21"/>
  <c r="S31" i="21"/>
  <c r="AA14" i="21"/>
  <c r="S14" i="21"/>
  <c r="AA29" i="33"/>
  <c r="S29" i="33"/>
  <c r="AZ310" i="3"/>
  <c r="AZ448" i="3"/>
  <c r="AZ443" i="3"/>
  <c r="AZ314" i="3"/>
  <c r="AZ201" i="3"/>
  <c r="F29" i="6"/>
  <c r="E29" i="6" s="1"/>
  <c r="K15" i="1" s="1"/>
  <c r="AA15" i="34"/>
  <c r="S15" i="34"/>
  <c r="D19" i="71"/>
  <c r="C18" i="71"/>
  <c r="B15" i="71"/>
  <c r="B14" i="71" s="1"/>
  <c r="B13" i="71" s="1"/>
  <c r="B12" i="71" s="1"/>
  <c r="S16" i="71"/>
  <c r="F7" i="36"/>
  <c r="W28" i="33"/>
  <c r="J6" i="15"/>
  <c r="G21" i="43"/>
  <c r="C20" i="43" s="1"/>
  <c r="E11" i="6"/>
  <c r="D55" i="71"/>
  <c r="C56" i="71"/>
  <c r="AA13" i="40"/>
  <c r="S13" i="40"/>
  <c r="W14" i="39"/>
  <c r="AC14" i="39"/>
  <c r="AC42" i="33"/>
  <c r="W42" i="33"/>
  <c r="W39" i="37"/>
  <c r="AC39" i="37"/>
  <c r="AC14" i="21"/>
  <c r="W14" i="21"/>
  <c r="AC29" i="33"/>
  <c r="W29" i="33"/>
  <c r="AZ538" i="3"/>
  <c r="AB27" i="21"/>
  <c r="U27" i="21"/>
  <c r="AZ534" i="3"/>
  <c r="AZ339" i="3"/>
  <c r="AZ219" i="3"/>
  <c r="AZ289" i="3"/>
  <c r="AZ323" i="3"/>
  <c r="AZ30" i="3"/>
  <c r="AZ5" i="3" s="1"/>
  <c r="AZ60" i="3"/>
  <c r="D9" i="69"/>
  <c r="C9" i="69" s="1"/>
  <c r="D19" i="12"/>
  <c r="C19" i="12" s="1"/>
  <c r="D9" i="11"/>
  <c r="C9" i="11" s="1"/>
  <c r="D9" i="68"/>
  <c r="C9" i="68" s="1"/>
  <c r="E8" i="6"/>
  <c r="W17" i="79"/>
  <c r="AK17" i="79" s="1"/>
  <c r="AH17" i="79"/>
  <c r="S44" i="39"/>
  <c r="AA44" i="39"/>
  <c r="W47" i="34"/>
  <c r="AC47" i="34"/>
  <c r="U39" i="37"/>
  <c r="AB39" i="37"/>
  <c r="AB29" i="33"/>
  <c r="U29" i="33"/>
  <c r="AC27" i="21"/>
  <c r="W27" i="21"/>
  <c r="AB46" i="21"/>
  <c r="U46" i="21"/>
  <c r="AZ587" i="3"/>
  <c r="AZ338" i="3"/>
  <c r="AZ357" i="3"/>
  <c r="AZ195" i="3"/>
  <c r="AZ316" i="3"/>
  <c r="AZ403" i="3"/>
  <c r="E13" i="6"/>
  <c r="N65" i="71"/>
  <c r="N66" i="71"/>
  <c r="AB25" i="35"/>
  <c r="U25" i="35"/>
  <c r="AA13" i="39"/>
  <c r="S13" i="39"/>
  <c r="U45" i="39"/>
  <c r="AB45" i="39"/>
  <c r="W29" i="34"/>
  <c r="AC29" i="34"/>
  <c r="AA39" i="37"/>
  <c r="S39" i="37"/>
  <c r="AB13" i="33"/>
  <c r="U13" i="33"/>
  <c r="AA28" i="21"/>
  <c r="S28" i="21"/>
  <c r="AA27" i="21"/>
  <c r="S27" i="21"/>
  <c r="AA46" i="21"/>
  <c r="S46" i="21"/>
  <c r="AZ350" i="3"/>
  <c r="AZ379" i="3"/>
  <c r="AZ461" i="3"/>
  <c r="AZ505" i="3"/>
  <c r="W15" i="34"/>
  <c r="AC15" i="34"/>
  <c r="AZ214" i="3"/>
  <c r="G28" i="6"/>
  <c r="G30" i="6" s="1"/>
  <c r="G31" i="6" s="1"/>
  <c r="W33" i="40"/>
  <c r="AC33" i="40"/>
  <c r="J7" i="36"/>
  <c r="S25" i="35"/>
  <c r="AA25" i="35"/>
  <c r="AC13" i="39"/>
  <c r="W13" i="39"/>
  <c r="AA45" i="39"/>
  <c r="S45" i="39"/>
  <c r="S14" i="34"/>
  <c r="AA14" i="34"/>
  <c r="AA13" i="33"/>
  <c r="S13" i="33"/>
  <c r="AB28" i="21"/>
  <c r="U28" i="21"/>
  <c r="AC46" i="21"/>
  <c r="W46" i="21"/>
  <c r="AZ398" i="3"/>
  <c r="AZ166" i="3"/>
  <c r="C35" i="71"/>
  <c r="D34" i="71"/>
  <c r="AC45" i="39"/>
  <c r="W45" i="39"/>
  <c r="AC13" i="33"/>
  <c r="W13" i="33"/>
  <c r="W28" i="21"/>
  <c r="AC28" i="21"/>
  <c r="AZ511" i="3"/>
  <c r="D10" i="52"/>
  <c r="D125" i="9"/>
  <c r="D11" i="52" s="1"/>
  <c r="AZ575" i="3"/>
  <c r="AZ507" i="3"/>
  <c r="AZ224" i="3"/>
  <c r="AZ356" i="3"/>
  <c r="AB9" i="21"/>
  <c r="U9" i="21"/>
  <c r="AZ229" i="3"/>
  <c r="AZ169" i="3"/>
  <c r="AZ309" i="3"/>
  <c r="C41" i="77"/>
  <c r="B2" i="77"/>
  <c r="B3" i="77" s="1"/>
  <c r="S44" i="34"/>
  <c r="D87" i="71"/>
  <c r="C86" i="71"/>
  <c r="D86" i="71" s="1"/>
  <c r="W7" i="79"/>
  <c r="AK7" i="79" s="1"/>
  <c r="AH7" i="79"/>
  <c r="W12" i="37"/>
  <c r="AC12" i="37"/>
  <c r="AB33" i="40"/>
  <c r="U33" i="40"/>
  <c r="AC13" i="21"/>
  <c r="W13" i="21"/>
  <c r="D18" i="53"/>
  <c r="B35" i="72" s="1"/>
  <c r="C7" i="74"/>
  <c r="U44" i="34"/>
  <c r="AB44" i="34"/>
  <c r="AZ174" i="3"/>
  <c r="AA9" i="21"/>
  <c r="S9" i="21"/>
  <c r="AC7" i="34"/>
  <c r="W7" i="34"/>
  <c r="AZ34" i="3"/>
  <c r="U15" i="34"/>
  <c r="AB15" i="34"/>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E51" i="40"/>
  <c r="F27" i="6"/>
  <c r="E56" i="39"/>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W7" i="36"/>
  <c r="AC7" i="36"/>
  <c r="V36" i="36" s="1"/>
  <c r="I36" i="36" s="1"/>
  <c r="S7" i="35"/>
  <c r="AA7" i="35"/>
  <c r="R38" i="35" s="1"/>
  <c r="AA7" i="21"/>
  <c r="R48" i="21" s="1"/>
  <c r="S7" i="21"/>
  <c r="E52" i="37"/>
  <c r="W7" i="35"/>
  <c r="AC7" i="35"/>
  <c r="V38" i="35" s="1"/>
  <c r="I38" i="35" s="1"/>
  <c r="AB7" i="21"/>
  <c r="T48" i="21" s="1"/>
  <c r="G48" i="21" s="1"/>
  <c r="U7" i="21"/>
  <c r="J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15"/>
  <c r="C33" i="15"/>
  <c r="F13" i="67"/>
  <c r="C16" i="67"/>
  <c r="AE6" i="1"/>
  <c r="E3" i="6" l="1"/>
  <c r="AY6" i="3"/>
  <c r="D18" i="71"/>
  <c r="C17" i="71"/>
  <c r="AA7" i="34"/>
  <c r="S7" i="34"/>
  <c r="D35" i="71"/>
  <c r="C36" i="71"/>
  <c r="T56" i="71"/>
  <c r="D56" i="71"/>
  <c r="G69" i="39"/>
  <c r="H67" i="39"/>
  <c r="S12" i="71"/>
  <c r="B11" i="71"/>
  <c r="B10" i="71" s="1"/>
  <c r="B9" i="71" s="1"/>
  <c r="B8" i="71" s="1"/>
  <c r="B7" i="71" s="1"/>
  <c r="B6" i="71" s="1"/>
  <c r="B5" i="71" s="1"/>
  <c r="J50" i="43"/>
  <c r="D50" i="43"/>
  <c r="AK5" i="79"/>
  <c r="C23" i="43"/>
  <c r="F30" i="6"/>
  <c r="F31" i="6" s="1"/>
  <c r="E28" i="6"/>
  <c r="V16" i="71"/>
  <c r="E15" i="71"/>
  <c r="E14" i="71" s="1"/>
  <c r="E13" i="71" s="1"/>
  <c r="E12" i="71"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E65" i="39"/>
  <c r="AC6" i="3"/>
  <c r="H6" i="3"/>
  <c r="J55" i="43"/>
  <c r="D55" i="43"/>
  <c r="N54" i="43"/>
  <c r="D54" i="43"/>
  <c r="J56" i="43"/>
  <c r="D56" i="43"/>
  <c r="U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F63" i="40"/>
  <c r="E65" i="40"/>
  <c r="G40" i="36"/>
  <c r="H40" i="36" s="1"/>
  <c r="G41" i="36"/>
  <c r="H41" i="36" s="1"/>
  <c r="H58" i="33"/>
  <c r="S10" i="40"/>
  <c r="R49" i="21"/>
  <c r="E48" i="21"/>
  <c r="I40" i="36"/>
  <c r="J40" i="36" s="1"/>
  <c r="I41" i="36"/>
  <c r="J41" i="36" s="1"/>
  <c r="J26" i="15"/>
  <c r="J29" i="15" s="1"/>
  <c r="J24" i="15"/>
  <c r="C44" i="69"/>
  <c r="D41" i="69" s="1"/>
  <c r="C26" i="69"/>
  <c r="D22" i="69" s="1"/>
  <c r="C24" i="69"/>
  <c r="F41" i="69"/>
  <c r="C20" i="15"/>
  <c r="C24" i="11"/>
  <c r="C44" i="11"/>
  <c r="D41" i="11" s="1"/>
  <c r="C26" i="11"/>
  <c r="D22" i="11" s="1"/>
  <c r="C23" i="11"/>
  <c r="C31" i="15"/>
  <c r="P36" i="43"/>
  <c r="O36" i="43"/>
  <c r="N36" i="43"/>
  <c r="M36" i="43"/>
  <c r="L37" i="43"/>
  <c r="Q36" i="43"/>
  <c r="C10" i="67"/>
  <c r="C5" i="67" s="1"/>
  <c r="C53" i="15"/>
  <c r="C48" i="15" s="1"/>
  <c r="C10" i="15"/>
  <c r="C5" i="15" s="1"/>
  <c r="C44" i="68"/>
  <c r="D41" i="68" s="1"/>
  <c r="C26" i="68"/>
  <c r="D22" i="68" s="1"/>
  <c r="F41" i="68"/>
  <c r="F41" i="67"/>
  <c r="V12" i="71" l="1"/>
  <c r="E11" i="71"/>
  <c r="E10" i="71" s="1"/>
  <c r="E9" i="71" s="1"/>
  <c r="E8" i="71" s="1"/>
  <c r="E7" i="71" s="1"/>
  <c r="E6" i="71" s="1"/>
  <c r="E5" i="71" s="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36" i="71"/>
  <c r="D36" i="71"/>
  <c r="C16" i="71"/>
  <c r="D17" i="71"/>
  <c r="I67" i="39"/>
  <c r="H69" i="39"/>
  <c r="U10" i="40"/>
  <c r="E6" i="3"/>
  <c r="C61" i="67"/>
  <c r="F69"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D29" i="6"/>
  <c r="D22" i="6"/>
  <c r="D8" i="6"/>
  <c r="D15" i="6"/>
  <c r="D21" i="6"/>
  <c r="D23" i="6"/>
  <c r="D9" i="6"/>
  <c r="D28" i="6"/>
  <c r="D20" i="6"/>
  <c r="L19" i="9"/>
  <c r="D25" i="6"/>
  <c r="D12" i="6"/>
  <c r="D6" i="6"/>
  <c r="H23" i="6"/>
  <c r="H20"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E40" i="36"/>
  <c r="F40" i="36" s="1"/>
  <c r="E41" i="36"/>
  <c r="F41" i="36" s="1"/>
  <c r="E53" i="21"/>
  <c r="F53" i="21" s="1"/>
  <c r="E52" i="21"/>
  <c r="F52" i="21" s="1"/>
  <c r="C48" i="21"/>
  <c r="C49" i="21"/>
  <c r="F65" i="40"/>
  <c r="G63" i="40"/>
  <c r="I53" i="21"/>
  <c r="J53" i="21" s="1"/>
  <c r="E42" i="35"/>
  <c r="F42" i="35" s="1"/>
  <c r="E43" i="35"/>
  <c r="F43" i="35" s="1"/>
  <c r="C37" i="36"/>
  <c r="C36" i="36"/>
  <c r="G42" i="35"/>
  <c r="H42" i="35" s="1"/>
  <c r="G43" i="35"/>
  <c r="H43" i="35" s="1"/>
  <c r="C38" i="35"/>
  <c r="C39" i="35"/>
  <c r="M3" i="35" s="1"/>
  <c r="C60" i="15"/>
  <c r="C59" i="15" s="1"/>
  <c r="C66" i="15"/>
  <c r="N37" i="43"/>
  <c r="Q37" i="43"/>
  <c r="M37" i="43"/>
  <c r="P37" i="43"/>
  <c r="O37" i="43"/>
  <c r="C26" i="15"/>
  <c r="C38" i="67"/>
  <c r="C23" i="15"/>
  <c r="C60" i="67"/>
  <c r="C66" i="67"/>
  <c r="C38" i="15"/>
  <c r="M19" i="6" l="1"/>
  <c r="S6" i="1"/>
  <c r="K27" i="6"/>
  <c r="J7" i="37"/>
  <c r="W7" i="37" s="1"/>
  <c r="H26" i="6"/>
  <c r="R26" i="6" s="1"/>
  <c r="I69" i="39"/>
  <c r="J67" i="39"/>
  <c r="T16" i="71"/>
  <c r="M23" i="43"/>
  <c r="C15" i="71"/>
  <c r="D16" i="71"/>
  <c r="U16" i="71" s="1"/>
  <c r="M14" i="1"/>
  <c r="M16" i="1" s="1"/>
  <c r="K16" i="1"/>
  <c r="C34" i="69"/>
  <c r="R22" i="6"/>
  <c r="F7" i="37"/>
  <c r="AA7" i="37" s="1"/>
  <c r="R42" i="37" s="1"/>
  <c r="H24" i="6"/>
  <c r="H25" i="6"/>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R23" i="6"/>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U7" i="37"/>
  <c r="AB7" i="37"/>
  <c r="T42" i="37" s="1"/>
  <c r="G42" i="37" s="1"/>
  <c r="J58" i="33"/>
  <c r="H63" i="40"/>
  <c r="G65" i="40"/>
  <c r="C14" i="67"/>
  <c r="C17" i="67"/>
  <c r="C15" i="67" l="1"/>
  <c r="C18" i="67"/>
  <c r="C19" i="67"/>
  <c r="C20" i="67" s="1"/>
  <c r="C26" i="67" s="1"/>
  <c r="S7" i="37"/>
  <c r="K67" i="39"/>
  <c r="J69" i="39"/>
  <c r="AC7" i="37"/>
  <c r="V42" i="37" s="1"/>
  <c r="I42" i="37" s="1"/>
  <c r="G47" i="37" s="1"/>
  <c r="H47" i="37" s="1"/>
  <c r="C38" i="69"/>
  <c r="C35" i="69"/>
  <c r="C33" i="69" s="1"/>
  <c r="C14" i="71"/>
  <c r="D15" i="71"/>
  <c r="V18" i="1"/>
  <c r="B29" i="1"/>
  <c r="AR6" i="1"/>
  <c r="T6" i="1"/>
  <c r="T16" i="1" s="1"/>
  <c r="S16" i="1"/>
  <c r="AQ6" i="1"/>
  <c r="E6" i="70"/>
  <c r="E2" i="70" s="1"/>
  <c r="C34" i="11"/>
  <c r="L16" i="1"/>
  <c r="N16" i="1"/>
  <c r="C34" i="68"/>
  <c r="I19" i="6"/>
  <c r="M27" i="6"/>
  <c r="V6" i="43"/>
  <c r="C34" i="43" s="1"/>
  <c r="C6" i="69"/>
  <c r="C7" i="69" s="1"/>
  <c r="C5" i="69" s="1"/>
  <c r="C23" i="67"/>
  <c r="C29" i="67" s="1"/>
  <c r="C13" i="67" s="1"/>
  <c r="C56" i="67" s="1"/>
  <c r="C65" i="67"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6" i="37"/>
  <c r="H46" i="37" s="1"/>
  <c r="R43" i="37"/>
  <c r="E42" i="37"/>
  <c r="I63" i="40"/>
  <c r="H65" i="40"/>
  <c r="H7" i="33"/>
  <c r="I46" i="37"/>
  <c r="J46" i="37" s="1"/>
  <c r="J13" i="15"/>
  <c r="J23" i="15" s="1"/>
  <c r="J22" i="15"/>
  <c r="C39" i="69" l="1"/>
  <c r="C42" i="69"/>
  <c r="F50" i="69"/>
  <c r="F50" i="68"/>
  <c r="F50" i="11"/>
  <c r="C38" i="11"/>
  <c r="C35" i="11"/>
  <c r="C33" i="11" s="1"/>
  <c r="C13" i="71"/>
  <c r="D14" i="71"/>
  <c r="L67" i="39"/>
  <c r="K69" i="39"/>
  <c r="S19" i="6"/>
  <c r="S27" i="6" s="1"/>
  <c r="H19" i="6"/>
  <c r="I27" i="6"/>
  <c r="C38" i="68"/>
  <c r="C35" i="68"/>
  <c r="C33" i="68"/>
  <c r="C8" i="68"/>
  <c r="C5" i="68" s="1"/>
  <c r="C23" i="68" s="1"/>
  <c r="C18" i="12"/>
  <c r="C21" i="12" s="1"/>
  <c r="C22" i="12" s="1"/>
  <c r="C30" i="12" s="1"/>
  <c r="C28" i="12" s="1"/>
  <c r="E34" i="43"/>
  <c r="C36" i="67"/>
  <c r="Q49" i="67"/>
  <c r="C37" i="67"/>
  <c r="C57" i="67"/>
  <c r="C64" i="67" s="1"/>
  <c r="Q70" i="67"/>
  <c r="J14" i="67"/>
  <c r="J13" i="67" s="1"/>
  <c r="J23" i="67" s="1"/>
  <c r="C75" i="67"/>
  <c r="J59" i="67"/>
  <c r="J60" i="67" s="1"/>
  <c r="Q48" i="67" s="1"/>
  <c r="C50" i="34"/>
  <c r="C49" i="34"/>
  <c r="I5" i="6"/>
  <c r="I6" i="6"/>
  <c r="C46" i="69"/>
  <c r="C45" i="69" s="1"/>
  <c r="C43" i="69"/>
  <c r="C41" i="69"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39" i="11" l="1"/>
  <c r="C43" i="11" s="1"/>
  <c r="C42" i="11"/>
  <c r="D13" i="71"/>
  <c r="C12" i="71"/>
  <c r="C20" i="68"/>
  <c r="C25" i="68" s="1"/>
  <c r="C22" i="68" s="1"/>
  <c r="H27" i="6"/>
  <c r="R19" i="6"/>
  <c r="L69" i="39"/>
  <c r="M67" i="39"/>
  <c r="C27" i="12"/>
  <c r="C25" i="12" s="1"/>
  <c r="C32" i="12" s="1"/>
  <c r="B2" i="12" s="1"/>
  <c r="B3" i="12" s="1"/>
  <c r="L46" i="67"/>
  <c r="J22" i="67"/>
  <c r="C41" i="68"/>
  <c r="B3" i="34"/>
  <c r="B2" i="34"/>
  <c r="C46" i="68"/>
  <c r="C45" i="68" s="1"/>
  <c r="C28" i="68"/>
  <c r="C27" i="68" s="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N67" i="39" l="1"/>
  <c r="M69" i="39"/>
  <c r="R6" i="1"/>
  <c r="R27" i="6"/>
  <c r="C11" i="71"/>
  <c r="T12" i="71"/>
  <c r="D12" i="71"/>
  <c r="U12" i="71" s="1"/>
  <c r="C46" i="11"/>
  <c r="C45" i="11" s="1"/>
  <c r="C49" i="11" s="1"/>
  <c r="C51" i="11" s="1"/>
  <c r="C52" i="11" s="1"/>
  <c r="B2" i="11" s="1"/>
  <c r="B3" i="11" s="1"/>
  <c r="C41" i="11"/>
  <c r="Q67" i="15"/>
  <c r="L57" i="15"/>
  <c r="L60" i="15" s="1"/>
  <c r="Q57" i="15" s="1"/>
  <c r="Q62" i="15" s="1"/>
  <c r="C31" i="68"/>
  <c r="C49" i="68"/>
  <c r="C51" i="68" s="1"/>
  <c r="Q47" i="15"/>
  <c r="Q53" i="15" s="1"/>
  <c r="B2" i="15"/>
  <c r="B3" i="15" s="1"/>
  <c r="C31" i="69"/>
  <c r="C52" i="69" s="1"/>
  <c r="B2" i="69" s="1"/>
  <c r="B3" i="69" s="1"/>
  <c r="C43" i="15"/>
  <c r="B2" i="76"/>
  <c r="B3" i="76" s="1"/>
  <c r="C83" i="15"/>
  <c r="C82" i="15" s="1"/>
  <c r="Q65" i="15"/>
  <c r="C46" i="15"/>
  <c r="L63" i="40"/>
  <c r="K65" i="40"/>
  <c r="E53" i="33"/>
  <c r="F53" i="33" s="1"/>
  <c r="E52" i="33"/>
  <c r="F52" i="33" s="1"/>
  <c r="C49" i="33"/>
  <c r="C48" i="33"/>
  <c r="M21" i="67"/>
  <c r="F35" i="67"/>
  <c r="F63" i="67" l="1"/>
  <c r="C62" i="67" s="1"/>
  <c r="C59" i="67" s="1"/>
  <c r="C58" i="67" s="1"/>
  <c r="C67" i="67" s="1"/>
  <c r="C68" i="67" s="1"/>
  <c r="C71" i="67" s="1"/>
  <c r="C34" i="67"/>
  <c r="C31" i="67" s="1"/>
  <c r="C30" i="67" s="1"/>
  <c r="C39" i="67" s="1"/>
  <c r="J20" i="67"/>
  <c r="J17" i="67" s="1"/>
  <c r="J16" i="67" s="1"/>
  <c r="J25" i="67" s="1"/>
  <c r="D11" i="71"/>
  <c r="C10" i="71"/>
  <c r="R16" i="1"/>
  <c r="N69" i="39"/>
  <c r="O67" i="39"/>
  <c r="O69" i="39" s="1"/>
  <c r="H7" i="39" s="1"/>
  <c r="Q66" i="15"/>
  <c r="Q75" i="15" s="1"/>
  <c r="C52" i="68"/>
  <c r="C57" i="68" s="1"/>
  <c r="C56" i="68" s="1"/>
  <c r="C56" i="11"/>
  <c r="C57" i="11" s="1"/>
  <c r="C57" i="69"/>
  <c r="C56" i="69" s="1"/>
  <c r="B2" i="33"/>
  <c r="B3" i="33"/>
  <c r="L65" i="40"/>
  <c r="M63" i="40"/>
  <c r="U7" i="39" l="1"/>
  <c r="AB7" i="39"/>
  <c r="T47" i="39" s="1"/>
  <c r="G47" i="39" s="1"/>
  <c r="F7" i="39"/>
  <c r="J7" i="39"/>
  <c r="D10" i="71"/>
  <c r="C9" i="71"/>
  <c r="C80" i="67"/>
  <c r="C79" i="67" s="1"/>
  <c r="Q69" i="67"/>
  <c r="Q68" i="67" s="1"/>
  <c r="C40" i="67"/>
  <c r="B2" i="68"/>
  <c r="B3" i="68" s="1"/>
  <c r="N63" i="40"/>
  <c r="M65" i="40"/>
  <c r="C19" i="9"/>
  <c r="L51" i="67"/>
  <c r="C20" i="9"/>
  <c r="Q67" i="67" l="1"/>
  <c r="C45" i="67"/>
  <c r="C46" i="67" s="1"/>
  <c r="Q47" i="67"/>
  <c r="Q53" i="67" s="1"/>
  <c r="C83" i="67"/>
  <c r="C82" i="67" s="1"/>
  <c r="C43" i="67"/>
  <c r="Q65" i="67"/>
  <c r="Q75" i="67" s="1"/>
  <c r="D2" i="67"/>
  <c r="Q56" i="67"/>
  <c r="Q62" i="67" s="1"/>
  <c r="C8" i="71"/>
  <c r="D9" i="71"/>
  <c r="W7" i="39"/>
  <c r="AC7" i="39"/>
  <c r="V47" i="39" s="1"/>
  <c r="I47" i="39" s="1"/>
  <c r="AA7" i="39"/>
  <c r="R47" i="39" s="1"/>
  <c r="S7" i="39"/>
  <c r="G51" i="39"/>
  <c r="H51" i="39" s="1"/>
  <c r="C102" i="9"/>
  <c r="C21" i="9"/>
  <c r="C103" i="9"/>
  <c r="O63" i="40"/>
  <c r="O65" i="40" s="1"/>
  <c r="N65" i="40"/>
  <c r="D8" i="71" l="1"/>
  <c r="C7" i="71"/>
  <c r="I51" i="39"/>
  <c r="J51" i="39" s="1"/>
  <c r="B3" i="67"/>
  <c r="B2" i="67"/>
  <c r="G52" i="39"/>
  <c r="H52" i="39" s="1"/>
  <c r="R48" i="39"/>
  <c r="E47" i="39"/>
  <c r="J7" i="40"/>
  <c r="H7" i="40"/>
  <c r="F7" i="40"/>
  <c r="D20" i="9"/>
  <c r="AO6" i="1"/>
  <c r="D19" i="9"/>
  <c r="D102" i="9" l="1"/>
  <c r="D22" i="9"/>
  <c r="G19" i="9"/>
  <c r="D21" i="9"/>
  <c r="B6" i="70"/>
  <c r="B2" i="70" s="1"/>
  <c r="B3" i="70" s="1"/>
  <c r="D103" i="9"/>
  <c r="G20" i="9"/>
  <c r="E51" i="39"/>
  <c r="F51" i="39" s="1"/>
  <c r="E52" i="39"/>
  <c r="F52" i="39" s="1"/>
  <c r="C48" i="39"/>
  <c r="C47" i="39"/>
  <c r="I52" i="39"/>
  <c r="J52" i="39" s="1"/>
  <c r="D7" i="71"/>
  <c r="C6" i="71"/>
  <c r="S7" i="40"/>
  <c r="AA7" i="40"/>
  <c r="R42" i="40" s="1"/>
  <c r="U7" i="40"/>
  <c r="AB7" i="40"/>
  <c r="T42" i="40" s="1"/>
  <c r="G42" i="40" s="1"/>
  <c r="AC7" i="40"/>
  <c r="V42" i="40" s="1"/>
  <c r="I42" i="40" s="1"/>
  <c r="W7" i="40"/>
  <c r="B58" i="39" l="1"/>
  <c r="F58" i="39" s="1"/>
  <c r="B62" i="39"/>
  <c r="F62" i="39" s="1"/>
  <c r="B63" i="39"/>
  <c r="F63" i="39" s="1"/>
  <c r="B61" i="39"/>
  <c r="F61" i="39" s="1"/>
  <c r="B59" i="39"/>
  <c r="F59" i="39" s="1"/>
  <c r="B64" i="39"/>
  <c r="F64" i="39" s="1"/>
  <c r="B57" i="39"/>
  <c r="F57" i="39" s="1"/>
  <c r="B56" i="39"/>
  <c r="F56" i="39" s="1"/>
  <c r="F65" i="39" s="1"/>
  <c r="B2" i="39" s="1"/>
  <c r="B3" i="39" s="1"/>
  <c r="B60" i="39"/>
  <c r="F60" i="39" s="1"/>
  <c r="C32" i="9"/>
  <c r="G26" i="9"/>
  <c r="G21" i="9"/>
  <c r="D14" i="74"/>
  <c r="D6" i="71"/>
  <c r="C5" i="71"/>
  <c r="R43" i="40"/>
  <c r="E42" i="40"/>
  <c r="I46" i="40"/>
  <c r="J46" i="40" s="1"/>
  <c r="G46" i="40"/>
  <c r="H46" i="40" s="1"/>
  <c r="G47" i="40"/>
  <c r="H47" i="40" s="1"/>
  <c r="R24" i="31" l="1"/>
  <c r="I118" i="9"/>
  <c r="C35" i="9"/>
  <c r="G118" i="9" s="1"/>
  <c r="C34" i="9"/>
  <c r="D5" i="71"/>
  <c r="M24" i="43"/>
  <c r="F14" i="74"/>
  <c r="G14" i="74"/>
  <c r="B6" i="74" s="1"/>
  <c r="D6" i="74" s="1"/>
  <c r="E14" i="74"/>
  <c r="B5" i="74"/>
  <c r="E46" i="40"/>
  <c r="F46" i="40" s="1"/>
  <c r="E47" i="40"/>
  <c r="F47" i="40" s="1"/>
  <c r="C42" i="40"/>
  <c r="C43" i="40"/>
  <c r="I47" i="40"/>
  <c r="J47" i="40" s="1"/>
  <c r="D5" i="74" l="1"/>
  <c r="G4" i="52"/>
  <c r="B52" i="72" s="1"/>
  <c r="F118" i="9"/>
  <c r="H118" i="9"/>
  <c r="H102" i="9"/>
  <c r="D7" i="53" s="1"/>
  <c r="B21" i="72" s="1"/>
  <c r="C105" i="9"/>
  <c r="I4" i="52"/>
  <c r="E118" i="9"/>
  <c r="R25" i="31"/>
  <c r="S25" i="31" s="1"/>
  <c r="S24" i="31"/>
  <c r="B54" i="40"/>
  <c r="F54" i="40" s="1"/>
  <c r="B59" i="40"/>
  <c r="F59" i="40" s="1"/>
  <c r="B57" i="40"/>
  <c r="F57" i="40" s="1"/>
  <c r="B52" i="40"/>
  <c r="F52" i="40" s="1"/>
  <c r="B53" i="40"/>
  <c r="F53" i="40" s="1"/>
  <c r="B51" i="40"/>
  <c r="F51" i="40" s="1"/>
  <c r="B60" i="40"/>
  <c r="F60" i="40" s="1"/>
  <c r="B58" i="40"/>
  <c r="F58" i="40" s="1"/>
  <c r="B56" i="40"/>
  <c r="F56" i="40" s="1"/>
  <c r="F61" i="40"/>
  <c r="B2" i="40" s="1"/>
  <c r="B3" i="40" s="1"/>
  <c r="E4" i="52" l="1"/>
  <c r="B48" i="72" s="1"/>
  <c r="D118" i="9"/>
  <c r="S22" i="31"/>
  <c r="H101" i="9"/>
  <c r="H119" i="9"/>
  <c r="H5" i="52" s="1"/>
  <c r="C104" i="9"/>
  <c r="H4" i="52"/>
  <c r="F4" i="52"/>
  <c r="B51" i="72" s="1"/>
  <c r="F119" i="9"/>
  <c r="F5" i="52" s="1"/>
  <c r="B53" i="72" s="1"/>
  <c r="C5" i="74"/>
  <c r="D45" i="9" l="1"/>
  <c r="D5" i="53"/>
  <c r="H107" i="9"/>
  <c r="M48" i="9"/>
  <c r="R22" i="31"/>
  <c r="B20" i="31"/>
  <c r="B21" i="31" s="1"/>
  <c r="D4" i="52"/>
  <c r="B47" i="72" s="1"/>
  <c r="D119" i="9"/>
  <c r="D5" i="52" s="1"/>
  <c r="B49" i="72" s="1"/>
  <c r="D6" i="53" l="1"/>
  <c r="B22" i="72" s="1"/>
  <c r="B20" i="72"/>
  <c r="D13" i="53"/>
  <c r="H108" i="9"/>
  <c r="D122" i="9"/>
  <c r="M49" i="9"/>
  <c r="C93" i="9"/>
  <c r="C86" i="9" s="1"/>
  <c r="D55" i="9"/>
  <c r="M53" i="9" s="1"/>
  <c r="C64" i="9"/>
  <c r="C63" i="9" s="1"/>
  <c r="C67" i="9" s="1"/>
  <c r="C85" i="9"/>
  <c r="D52" i="9"/>
  <c r="C72" i="9"/>
  <c r="C79" i="9" s="1"/>
  <c r="C78" i="9"/>
  <c r="C73" i="9" s="1"/>
  <c r="D53" i="9"/>
  <c r="C80" i="9" l="1"/>
  <c r="E80" i="9" s="1"/>
  <c r="E81" i="9" s="1"/>
  <c r="C68" i="9"/>
  <c r="D54" i="9" s="1"/>
  <c r="D59" i="9"/>
  <c r="M55" i="9" s="1"/>
  <c r="L65" i="9"/>
  <c r="M65" i="9" s="1"/>
  <c r="L64" i="9"/>
  <c r="M64" i="9" s="1"/>
  <c r="L68" i="9"/>
  <c r="M68" i="9" s="1"/>
  <c r="L63" i="9"/>
  <c r="M63" i="9" s="1"/>
  <c r="L66" i="9"/>
  <c r="M66" i="9" s="1"/>
  <c r="L67" i="9"/>
  <c r="M67" i="9" s="1"/>
  <c r="C95" i="9"/>
  <c r="D107" i="9"/>
  <c r="D15" i="53"/>
  <c r="B31" i="72" s="1"/>
  <c r="C6" i="74"/>
  <c r="D123" i="9"/>
  <c r="D9" i="52" s="1"/>
  <c r="D8" i="52"/>
  <c r="D14" i="53"/>
  <c r="B32" i="72" s="1"/>
  <c r="B30" i="72"/>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<sst xmlns="http://schemas.openxmlformats.org/spreadsheetml/2006/main" count="8077" uniqueCount="2805">
  <si>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</si>
  <si>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</si>
  <si>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</si>
  <si>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</si>
  <si>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</si>
  <si>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</si>
  <si>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</si>
  <si>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</si>
  <si>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</si>
  <si>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</si>
  <si>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</si>
  <si>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</si>
  <si>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</si>
  <si>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</si>
  <si>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</si>
  <si>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</si>
  <si>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</si>
  <si>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</si>
  <si>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</si>
  <si>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</si>
  <si>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</si>
  <si>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</si>
  <si>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</si>
  <si>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</si>
  <si>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</si>
  <si>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</si>
  <si>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</si>
  <si>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</si>
  <si>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</si>
  <si>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</si>
  <si>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</si>
  <si>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</si>
  <si>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</si>
  <si>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</si>
  <si>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</si>
  <si>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</si>
  <si>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</si>
  <si>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</si>
  <si>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</si>
  <si>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</si>
  <si>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</si>
  <si>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</si>
  <si>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</si>
  <si>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</si>
  <si>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</si>
  <si>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</si>
  <si>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</si>
  <si>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</si>
  <si>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</si>
  <si>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</si>
  <si>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</si>
  <si>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</si>
  <si>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</si>
  <si>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</si>
  <si>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</si>
  <si>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</si>
  <si>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</si>
  <si>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</si>
  <si>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</si>
  <si>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</si>
  <si>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</si>
  <si>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</si>
  <si>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</si>
  <si>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</si>
  <si>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</si>
  <si>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</si>
  <si>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</si>
  <si>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</si>
  <si>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</si>
  <si>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</si>
  <si>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</si>
  <si>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</si>
  <si>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</si>
  <si>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</si>
  <si>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</si>
  <si>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</si>
  <si>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</si>
  <si>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</si>
  <si>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</si>
  <si>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</si>
  <si>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</si>
  <si>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</si>
  <si>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</si>
  <si>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</si>
  <si>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</si>
  <si>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</si>
  <si>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</si>
  <si>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</si>
  <si>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</si>
  <si>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</si>
  <si>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</si>
  <si>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</si>
  <si>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</si>
  <si>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</si>
  <si>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</si>
  <si>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</si>
  <si>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</si>
  <si>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</si>
  <si>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</si>
  <si>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</si>
  <si>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</si>
  <si>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</si>
  <si>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</si>
  <si>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</si>
  <si>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</si>
  <si>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</si>
  <si>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</si>
  <si>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</si>
  <si>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</si>
  <si>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</si>
  <si>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</si>
  <si>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</si>
  <si>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</si>
  <si>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</si>
  <si>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</si>
  <si>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</si>
  <si>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</si>
  <si>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</si>
  <si>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</si>
  <si>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</si>
  <si>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</si>
  <si>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</si>
  <si>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</si>
  <si>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</si>
  <si>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</si>
  <si>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</si>
  <si>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</si>
  <si>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</si>
  <si>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</si>
  <si>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</si>
  <si>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</si>
  <si>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</si>
  <si>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</si>
  <si>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</si>
  <si>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</si>
  <si>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</si>
  <si>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</si>
  <si>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</si>
  <si>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</si>
  <si>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</si>
  <si>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</si>
  <si>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</si>
  <si>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</si>
  <si>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</si>
  <si>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</si>
  <si>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</si>
  <si>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</si>
  <si>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</si>
  <si>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</si>
  <si>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</si>
  <si>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</si>
  <si>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</si>
  <si>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</si>
  <si>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</si>
  <si>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</si>
  <si>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</si>
  <si>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</si>
  <si>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</si>
  <si>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</si>
  <si>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</si>
  <si>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</si>
  <si>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</si>
  <si>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</si>
  <si>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</si>
  <si>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</si>
  <si>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</si>
  <si>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</si>
  <si>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</si>
  <si>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</si>
  <si>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</si>
  <si>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</si>
  <si>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</si>
  <si>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</si>
  <si>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</si>
  <si>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</si>
  <si>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</si>
  <si>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</si>
  <si>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</si>
  <si>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</si>
  <si>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</si>
  <si>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</si>
  <si>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</si>
  <si>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</si>
  <si>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</si>
  <si>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</si>
  <si>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</si>
  <si>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</si>
  <si>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</si>
  <si>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</si>
  <si>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</si>
  <si>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</si>
  <si>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</si>
  <si>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</si>
  <si>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</si>
  <si>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</si>
  <si>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</si>
  <si>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</si>
  <si>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</si>
  <si>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</si>
  <si>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</si>
  <si>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</si>
  <si>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</si>
  <si>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</si>
  <si>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</si>
  <si>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</si>
  <si>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</si>
  <si>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</si>
  <si>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</si>
  <si>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</si>
  <si>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</si>
  <si>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</si>
  <si>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</si>
  <si>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</si>
  <si>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</si>
  <si>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</si>
  <si>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</si>
  <si>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</si>
  <si>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</si>
  <si>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</si>
  <si>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</si>
  <si>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</si>
  <si>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</si>
  <si>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</si>
  <si>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</si>
  <si>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</si>
  <si>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</si>
  <si>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</si>
  <si>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</si>
  <si>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</si>
  <si>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</si>
  <si>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</si>
  <si>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</si>
  <si>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</si>
  <si>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</si>
  <si>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</si>
  <si>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</si>
  <si>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</si>
  <si>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</si>
  <si>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</si>
  <si>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</si>
  <si>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</si>
  <si>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</si>
  <si>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</si>
  <si>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</si>
  <si>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</si>
  <si>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</si>
  <si>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</si>
  <si>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</si>
  <si>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</si>
  <si>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</si>
  <si>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</si>
  <si>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</si>
  <si>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</si>
  <si>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</si>
  <si>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</si>
  <si>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</si>
  <si>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</si>
  <si>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</si>
  <si>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</si>
  <si>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</si>
  <si>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</si>
  <si>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</si>
  <si>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</si>
  <si>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</si>
  <si>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</si>
  <si>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</si>
  <si>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</si>
  <si>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</si>
  <si>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</si>
  <si>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</si>
  <si>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</si>
  <si>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</si>
  <si>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</si>
  <si>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</si>
  <si>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</si>
  <si>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</si>
  <si>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</si>
  <si>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</si>
  <si>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</si>
  <si>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</si>
  <si>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</si>
  <si>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</si>
  <si>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</si>
  <si>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</si>
  <si>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</si>
  <si>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</si>
  <si>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</si>
  <si>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</si>
  <si>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</si>
  <si>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</si>
  <si>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</si>
  <si>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</si>
  <si>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</si>
  <si>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</si>
  <si>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</si>
  <si>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</si>
  <si>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</si>
  <si>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</si>
  <si>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</si>
  <si>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</si>
  <si>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</si>
  <si>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</si>
  <si>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</si>
  <si>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</si>
  <si>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</si>
  <si>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</si>
  <si>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</si>
  <si>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</si>
  <si>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</si>
  <si>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</si>
  <si>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</si>
  <si>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</si>
  <si>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</si>
  <si>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</si>
  <si>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</si>
  <si>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</si>
  <si>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</si>
  <si>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</si>
  <si>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</si>
  <si>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</si>
  <si>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</si>
  <si>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</si>
  <si>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</si>
  <si>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</si>
  <si>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</si>
  <si>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</si>
  <si>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</si>
  <si>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</si>
  <si>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</si>
  <si>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</si>
  <si>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</si>
  <si>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</si>
  <si>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</si>
  <si>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</si>
  <si>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</si>
  <si>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</si>
  <si>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</si>
  <si>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</si>
  <si>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</si>
  <si>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</si>
  <si>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</si>
  <si>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</si>
  <si>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</si>
  <si>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</si>
  <si>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</si>
  <si>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</si>
  <si>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</si>
  <si>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</si>
  <si>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</si>
  <si>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</si>
  <si>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</si>
  <si>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</si>
  <si>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</si>
  <si>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</si>
  <si>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</si>
  <si>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</si>
  <si>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</si>
  <si>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</si>
  <si>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</si>
  <si>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</si>
  <si>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</si>
  <si>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</si>
  <si>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</si>
  <si>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</si>
  <si>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</si>
  <si>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</si>
  <si>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</si>
  <si>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</si>
  <si>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</si>
  <si>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</si>
  <si>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</si>
  <si>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</si>
  <si>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</si>
  <si>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</si>
  <si>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</si>
  <si>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</si>
  <si>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</si>
  <si>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</si>
  <si>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</si>
  <si>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</si>
  <si>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</si>
  <si>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</si>
  <si>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</si>
  <si>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</si>
  <si>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</si>
  <si>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</si>
  <si>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</si>
  <si>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</si>
  <si>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</si>
  <si>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</si>
  <si>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</si>
  <si>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</si>
  <si>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</si>
  <si>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</si>
  <si>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</si>
  <si>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</si>
  <si>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</si>
  <si>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</si>
  <si>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</si>
  <si>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</si>
  <si>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</si>
  <si>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</si>
  <si>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</si>
  <si>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</si>
  <si>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</si>
  <si>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</si>
  <si>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</si>
  <si>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</si>
  <si>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</si>
  <si>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</si>
  <si>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</si>
  <si>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</si>
  <si>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</si>
  <si>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</si>
  <si>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</si>
  <si>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</si>
  <si>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</si>
  <si>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</si>
  <si>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</si>
  <si>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</si>
  <si>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</si>
  <si>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</si>
  <si>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</si>
  <si>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</si>
  <si>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</si>
  <si>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</si>
  <si>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</si>
  <si>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</si>
  <si>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</si>
  <si>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</si>
  <si>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</si>
  <si>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</si>
  <si>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</si>
  <si>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</si>
  <si>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</si>
  <si>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</si>
  <si>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</si>
  <si>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</si>
  <si>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</si>
  <si>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</si>
  <si>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</si>
  <si>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</si>
  <si>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</si>
  <si>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</si>
  <si>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</si>
  <si>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</si>
  <si>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</si>
  <si>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</si>
  <si>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</si>
  <si>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</si>
  <si>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</si>
  <si>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</si>
  <si>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</si>
  <si>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</si>
  <si>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</si>
  <si>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</si>
  <si>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</si>
  <si>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</si>
  <si>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</si>
  <si>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</si>
  <si>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</si>
  <si>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</si>
  <si>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</si>
  <si>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</si>
  <si>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</si>
  <si>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</si>
  <si>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</si>
  <si>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</si>
  <si>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</si>
  <si>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</si>
  <si>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</si>
  <si>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</si>
  <si>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</si>
  <si>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</si>
  <si>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</si>
  <si>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</si>
  <si>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</si>
  <si>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</si>
  <si>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</si>
  <si>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</si>
  <si>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</si>
  <si>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</si>
  <si>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</si>
  <si>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</si>
  <si>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</si>
  <si>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</si>
  <si>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</si>
  <si>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</si>
  <si>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</si>
  <si>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</si>
  <si>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</si>
  <si>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</si>
  <si>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</si>
  <si>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</si>
  <si>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</si>
  <si>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</si>
  <si>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</si>
  <si>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</si>
  <si>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</si>
  <si>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</si>
  <si>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</si>
  <si>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</si>
  <si>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</si>
  <si>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</si>
  <si>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</si>
  <si>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</si>
  <si>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</si>
  <si>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</si>
  <si>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</si>
  <si>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</si>
  <si>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</si>
  <si>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</si>
  <si>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</si>
  <si>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</si>
  <si>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</si>
  <si>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</si>
  <si>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</si>
  <si>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</si>
  <si>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</si>
  <si>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</si>
  <si>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</si>
  <si>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</si>
  <si>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</si>
  <si>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</si>
  <si>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</si>
  <si>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</si>
  <si>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</si>
  <si>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</si>
  <si>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</si>
  <si>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</si>
  <si>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</si>
  <si>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</si>
  <si>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</si>
  <si>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</si>
  <si>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</si>
  <si>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</si>
  <si>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</si>
  <si>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</si>
  <si>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</si>
  <si>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</si>
  <si>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</si>
  <si>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</si>
  <si>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</si>
  <si>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</si>
  <si>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</si>
  <si>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</si>
  <si>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</si>
  <si>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</si>
  <si>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</si>
  <si>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</si>
  <si>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</si>
  <si>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</si>
  <si>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</si>
  <si>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</si>
  <si>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</si>
  <si>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</si>
  <si>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</si>
  <si>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</si>
  <si>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</si>
  <si>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</si>
  <si>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</si>
  <si>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</si>
  <si>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</si>
  <si>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</si>
  <si>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</si>
  <si>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</si>
  <si>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</si>
  <si>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</si>
  <si>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</si>
  <si>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</si>
  <si>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</si>
  <si>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</si>
  <si>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</si>
  <si>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</si>
  <si>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</si>
  <si>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</si>
  <si>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</si>
  <si>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</si>
  <si>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</si>
  <si>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</si>
  <si>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</si>
  <si>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</si>
  <si>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</si>
  <si>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</si>
  <si>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</si>
  <si>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</si>
  <si>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</si>
  <si>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</si>
  <si>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</si>
  <si>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</si>
  <si>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</si>
  <si>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</si>
  <si>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</si>
  <si>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</si>
  <si>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</si>
  <si>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</si>
  <si>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</si>
  <si>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</si>
  <si>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</si>
  <si>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</si>
  <si>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</si>
  <si>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</si>
  <si>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</si>
  <si>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</si>
  <si>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</si>
  <si>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</si>
  <si>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</si>
  <si>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</si>
  <si>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</si>
  <si>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</si>
  <si>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</si>
  <si>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</si>
  <si>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</si>
  <si>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</si>
  <si>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</si>
  <si>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</si>
  <si>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</si>
  <si>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</si>
  <si>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</si>
  <si>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</si>
  <si>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</si>
  <si>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</si>
  <si>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</si>
  <si>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</si>
  <si>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</si>
  <si>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</si>
  <si>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</si>
  <si>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</si>
  <si>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</si>
  <si>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</si>
  <si>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</si>
  <si>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</si>
  <si>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</si>
  <si>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</si>
  <si>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</si>
  <si>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</si>
  <si>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</si>
  <si>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</si>
  <si>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</si>
  <si>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</si>
  <si>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</si>
  <si>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</si>
  <si>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</si>
  <si>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</si>
  <si>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</si>
  <si>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</si>
  <si>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</si>
  <si>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</si>
  <si>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</si>
  <si>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</si>
  <si>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</si>
  <si>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</si>
  <si>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</si>
  <si>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</si>
  <si>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</si>
  <si>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</si>
  <si>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</si>
  <si>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</si>
  <si>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</si>
  <si>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</si>
  <si>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</si>
  <si>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</si>
  <si>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</si>
  <si>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</si>
  <si>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</si>
  <si>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</si>
  <si>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</si>
  <si>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</si>
  <si>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</si>
  <si>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</si>
  <si>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</si>
  <si>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</si>
  <si>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</si>
  <si>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</si>
  <si>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</si>
  <si>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</si>
  <si>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</si>
  <si>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</si>
  <si>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</si>
  <si>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</si>
  <si>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</si>
  <si>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</si>
  <si>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</si>
  <si>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</si>
  <si>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</si>
  <si>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</si>
  <si>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</si>
  <si>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</si>
  <si>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</si>
  <si>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</si>
  <si>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</si>
  <si>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</si>
  <si>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</si>
  <si>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</si>
  <si>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</si>
  <si>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</si>
  <si>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</si>
  <si>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</si>
  <si>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</si>
  <si>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</si>
  <si>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</si>
  <si>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</si>
  <si>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</si>
  <si>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</si>
  <si>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</si>
  <si>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</si>
  <si>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</si>
  <si>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</si>
  <si>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</si>
  <si>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</si>
  <si>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</si>
  <si>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</si>
  <si>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</si>
  <si>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</si>
  <si>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</si>
  <si>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</si>
  <si>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</si>
  <si>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</si>
  <si>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</si>
  <si>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</si>
  <si>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</si>
  <si>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</si>
  <si>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</si>
  <si>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</si>
  <si>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</si>
  <si>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</si>
  <si>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</si>
  <si>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</si>
  <si>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</si>
  <si>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</si>
  <si>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</si>
  <si>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</si>
  <si>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</si>
  <si>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</si>
  <si>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</si>
  <si>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</si>
  <si>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</si>
  <si>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</si>
  <si>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</si>
  <si>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</si>
  <si>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</si>
  <si>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</si>
  <si>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</si>
  <si>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</si>
  <si>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</si>
  <si>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</si>
  <si>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</si>
  <si>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</si>
  <si>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</si>
  <si>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</si>
  <si>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</si>
  <si>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</si>
  <si>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</si>
  <si>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</si>
  <si>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</si>
  <si>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</si>
  <si>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</si>
  <si>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</si>
  <si>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</si>
  <si>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</si>
  <si>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</si>
  <si>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</si>
  <si>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</si>
  <si>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</si>
  <si>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</si>
  <si>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</si>
  <si>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</si>
  <si>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</si>
  <si>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</si>
  <si>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</si>
  <si>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</si>
  <si>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</si>
  <si>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</si>
  <si>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</si>
  <si>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</si>
  <si>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</si>
  <si>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</si>
  <si>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</si>
  <si>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</si>
  <si>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</si>
  <si>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</si>
  <si>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</si>
  <si>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</si>
  <si>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</si>
  <si>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</si>
  <si>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</si>
  <si>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</si>
  <si>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</si>
  <si>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</si>
  <si>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</si>
  <si>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</si>
  <si>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</si>
  <si>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</si>
  <si>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</si>
  <si>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</si>
  <si>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</si>
  <si>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</si>
  <si>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</si>
  <si>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</si>
  <si>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</si>
  <si>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</si>
  <si>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</si>
  <si>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</si>
  <si>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</si>
  <si>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</si>
  <si>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</si>
  <si>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</si>
  <si>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</si>
  <si>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</si>
  <si>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</si>
  <si>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</si>
  <si>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</si>
  <si>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</si>
  <si>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</si>
  <si>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</si>
  <si>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</si>
  <si>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</si>
  <si>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</si>
  <si>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</si>
  <si>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</si>
  <si>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</si>
  <si>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</si>
  <si>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</si>
  <si>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</si>
  <si>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</si>
  <si>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</si>
  <si>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</si>
  <si>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</si>
  <si>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</si>
  <si>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</si>
  <si>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</si>
  <si>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</si>
  <si>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</si>
  <si>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</si>
  <si>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</si>
  <si>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</si>
  <si>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</si>
  <si>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</si>
  <si>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</si>
  <si>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</si>
  <si>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</si>
  <si>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</si>
  <si>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</si>
  <si>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</si>
  <si>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</si>
  <si>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</si>
  <si>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</si>
  <si>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</si>
  <si>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</si>
  <si>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</si>
  <si>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</si>
  <si>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</si>
  <si>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</si>
  <si>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</si>
  <si>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</si>
  <si>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</si>
  <si>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</si>
  <si>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</si>
  <si>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</si>
  <si>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</si>
  <si>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</si>
  <si>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</si>
  <si>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</si>
  <si>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</si>
  <si>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</si>
  <si>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</si>
  <si>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</si>
  <si>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</si>
  <si>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</si>
  <si>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</si>
  <si>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</si>
  <si>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</si>
  <si>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</si>
  <si>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</si>
  <si>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</si>
  <si>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</si>
  <si>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</si>
  <si>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</si>
  <si>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</si>
  <si>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</si>
  <si>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</si>
  <si>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</si>
  <si>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</si>
  <si>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</si>
  <si>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</si>
  <si>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</si>
  <si>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</si>
  <si>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</si>
  <si>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</si>
  <si>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</si>
  <si>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</si>
  <si>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</si>
  <si>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</si>
  <si>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</si>
  <si>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</si>
  <si>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</si>
  <si>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</si>
  <si>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</si>
  <si>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</si>
  <si>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</si>
  <si>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</si>
  <si>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</si>
  <si>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</si>
  <si>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</si>
  <si>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</si>
  <si>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</si>
  <si>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</si>
  <si>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</si>
  <si>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</si>
  <si>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</si>
  <si>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</si>
  <si>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</si>
  <si>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</si>
  <si>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</si>
  <si>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</si>
  <si>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</si>
  <si>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</si>
  <si>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</si>
  <si>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</si>
  <si>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</si>
  <si>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</si>
  <si>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</si>
  <si>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</si>
  <si>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</si>
  <si>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</si>
  <si>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</si>
  <si>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</si>
  <si>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</si>
  <si>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</si>
  <si>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</si>
  <si>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</si>
  <si>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</si>
  <si>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</si>
  <si>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</si>
  <si>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</si>
  <si>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</si>
  <si>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</si>
  <si>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</si>
  <si>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</si>
  <si>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</si>
  <si>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</si>
  <si>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</si>
  <si>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</si>
  <si>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</si>
  <si>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</si>
  <si>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</si>
  <si>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</si>
  <si>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</si>
  <si>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</si>
  <si>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</si>
  <si>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</si>
  <si>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</si>
  <si>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</si>
  <si>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</si>
  <si>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</si>
  <si>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</si>
  <si>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</si>
  <si>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</si>
  <si>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</si>
  <si>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</si>
  <si>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</si>
  <si>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</si>
  <si>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</si>
  <si>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</si>
  <si>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</si>
  <si>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</si>
  <si>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</si>
  <si>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</si>
  <si>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</si>
  <si>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</si>
  <si>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</si>
  <si>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</si>
  <si>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</si>
  <si>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</si>
  <si>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</si>
  <si>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</si>
  <si>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</si>
  <si>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</si>
  <si>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</si>
  <si>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</si>
  <si>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</si>
  <si>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</si>
  <si>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</si>
  <si>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</si>
  <si>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</si>
  <si>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</si>
  <si>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</si>
  <si>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</si>
  <si>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</si>
  <si>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</si>
  <si>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</si>
  <si>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</si>
  <si>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</si>
  <si>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</si>
  <si>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</si>
  <si>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</si>
  <si>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</si>
  <si>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</si>
  <si>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</si>
  <si>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</si>
  <si>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</si>
  <si>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</si>
  <si>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</si>
  <si>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</si>
  <si>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</si>
  <si>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</si>
  <si>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</si>
  <si>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</si>
  <si>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</si>
  <si>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</si>
  <si>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</si>
  <si>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</si>
  <si>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</si>
  <si>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</si>
  <si>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</si>
  <si>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</si>
  <si>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</si>
  <si>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</si>
  <si>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</si>
  <si>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</si>
  <si>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</si>
  <si>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</si>
  <si>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</si>
  <si>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</si>
  <si>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</si>
  <si>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</si>
  <si>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</si>
  <si>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</si>
  <si>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</si>
  <si>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</si>
  <si>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</si>
  <si>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</si>
  <si>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</si>
  <si>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</si>
  <si>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</si>
  <si>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</si>
  <si>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</si>
  <si>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</si>
  <si>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</si>
  <si>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</si>
  <si>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</si>
  <si>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</si>
  <si>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</si>
  <si>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</si>
  <si>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</si>
  <si>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</si>
  <si>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</si>
  <si>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</si>
  <si>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</si>
  <si>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</si>
  <si>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</si>
  <si>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</si>
  <si>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</si>
  <si>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</si>
  <si>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</si>
  <si>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</si>
  <si>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</si>
  <si>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</si>
  <si>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</si>
  <si>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</si>
  <si>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</si>
  <si>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</si>
  <si>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</si>
  <si>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</si>
  <si>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</si>
  <si>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</si>
  <si>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</si>
  <si>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</si>
  <si>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</si>
  <si>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</si>
  <si>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</si>
  <si>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</si>
  <si>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</si>
  <si>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</si>
  <si>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</si>
  <si>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</si>
  <si>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</si>
  <si>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</si>
  <si>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</si>
  <si>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</si>
  <si>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</si>
  <si>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</si>
  <si>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</si>
  <si>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</si>
  <si>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</si>
  <si>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</si>
  <si>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</si>
  <si>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</si>
  <si>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</si>
  <si>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</si>
  <si>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</si>
  <si>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</si>
  <si>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</si>
  <si>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</si>
  <si>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</si>
  <si>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</si>
  <si>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</si>
  <si>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</si>
  <si>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</si>
  <si>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</si>
  <si>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</si>
  <si>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</si>
  <si>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</si>
  <si>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</si>
  <si>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</si>
  <si>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</si>
  <si>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</si>
  <si>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</si>
  <si>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</si>
  <si>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</si>
  <si>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</si>
  <si>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</si>
  <si>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</si>
  <si>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</si>
  <si>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</si>
  <si>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</si>
  <si>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</si>
  <si>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</si>
  <si>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</si>
  <si>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</si>
  <si>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</si>
  <si>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</si>
  <si>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</si>
  <si>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</si>
  <si>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</si>
  <si>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</si>
  <si>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</si>
  <si>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</si>
  <si>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</si>
  <si>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</si>
  <si>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</si>
  <si>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</si>
  <si>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</si>
  <si>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</si>
  <si>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</si>
  <si>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</si>
  <si>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</si>
  <si>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</si>
  <si>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</si>
  <si>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</si>
  <si>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</si>
  <si>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</si>
  <si>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</si>
  <si>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</si>
  <si>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</si>
  <si>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</si>
  <si>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</si>
  <si>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</si>
  <si>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</si>
  <si>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</si>
  <si>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</si>
  <si>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</si>
  <si>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</si>
  <si>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</si>
  <si>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</si>
  <si>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</si>
  <si>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</si>
  <si>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</si>
  <si>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</si>
  <si>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</si>
  <si>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</si>
  <si>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</si>
  <si>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</si>
  <si>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</si>
  <si>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</si>
  <si>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</si>
  <si>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</si>
  <si>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</si>
  <si>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</si>
  <si>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</si>
  <si>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</si>
  <si>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</si>
  <si>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</si>
  <si>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</si>
  <si>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</si>
  <si>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</si>
  <si>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</si>
  <si>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</si>
  <si>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</si>
  <si>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</si>
  <si>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</si>
  <si>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</si>
  <si>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</si>
  <si>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</si>
  <si>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</si>
  <si>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</si>
  <si>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</si>
  <si>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</si>
  <si>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</si>
  <si>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</si>
  <si>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</si>
  <si>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</si>
  <si>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</si>
  <si>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</si>
  <si>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</si>
  <si>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</si>
  <si>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</si>
  <si>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</si>
  <si>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</si>
  <si>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</si>
  <si>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</si>
  <si>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</si>
  <si>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</si>
  <si>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</si>
  <si>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</si>
  <si>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</si>
  <si>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</si>
  <si>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</si>
  <si>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</si>
  <si>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</si>
  <si>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</si>
  <si>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</si>
  <si>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</si>
  <si>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</si>
  <si>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</si>
  <si>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</si>
  <si>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</si>
  <si>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</si>
  <si>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</si>
  <si>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</si>
  <si>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</si>
  <si>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</si>
  <si>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</si>
  <si>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</si>
  <si>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</si>
  <si>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</si>
  <si>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</si>
  <si>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</si>
  <si>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</si>
  <si>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</si>
  <si>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</si>
  <si>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</si>
  <si>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</si>
  <si>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</si>
  <si>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</si>
  <si>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</si>
  <si>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</si>
  <si>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</si>
  <si>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</si>
  <si>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</si>
  <si>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</si>
  <si>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</si>
  <si>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</si>
  <si>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</si>
  <si>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</si>
  <si>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</si>
  <si>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</si>
  <si>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</si>
  <si>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</si>
  <si>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</si>
  <si>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</si>
  <si>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</si>
  <si>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</si>
  <si>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</si>
  <si>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</si>
  <si>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</si>
  <si>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</si>
  <si>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</si>
  <si>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</si>
  <si>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</si>
  <si>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</si>
  <si>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</si>
  <si>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</si>
  <si>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</si>
  <si>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</si>
  <si>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</si>
  <si>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</si>
  <si>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</si>
  <si>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</si>
  <si>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</si>
  <si>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</si>
  <si>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</si>
  <si>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</si>
  <si>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</si>
  <si>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</si>
  <si>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</si>
  <si>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</si>
  <si>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</si>
  <si>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</si>
  <si>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</si>
  <si>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</si>
  <si>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</si>
  <si>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</si>
  <si>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</si>
  <si>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</si>
  <si>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</si>
  <si>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</si>
  <si>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</si>
  <si>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</si>
  <si>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</si>
  <si>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</si>
  <si>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</si>
  <si>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</si>
  <si>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</si>
  <si>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</si>
  <si>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</si>
  <si>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</si>
  <si>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</si>
  <si>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</si>
  <si>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</si>
  <si>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</si>
  <si>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</si>
  <si>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</si>
  <si>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</si>
  <si>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</si>
  <si>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</si>
  <si>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</si>
  <si>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</si>
  <si>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</si>
  <si>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</si>
  <si>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</si>
  <si>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</si>
  <si>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</si>
  <si>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</si>
  <si>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</si>
  <si>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</si>
  <si>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</si>
  <si>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</si>
  <si>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</si>
  <si>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</si>
  <si>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</si>
  <si>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</si>
  <si>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</si>
  <si>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</si>
  <si>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</si>
  <si>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</si>
  <si>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</si>
  <si>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</si>
  <si>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</si>
  <si>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</si>
  <si>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</si>
  <si>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</si>
  <si>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</si>
  <si>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</si>
  <si>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</si>
  <si>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</si>
  <si>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</si>
  <si>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</si>
  <si>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</si>
  <si>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</si>
  <si>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</si>
  <si>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</si>
  <si>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</si>
  <si>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</si>
  <si>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</si>
  <si>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</si>
  <si>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</si>
  <si>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</si>
  <si>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</si>
  <si>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</si>
  <si>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</si>
  <si>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</si>
  <si>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</si>
  <si>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</si>
  <si>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</si>
  <si>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</si>
  <si>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</si>
  <si>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</si>
  <si>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</si>
  <si>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</si>
  <si>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</si>
  <si>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</si>
  <si>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</si>
  <si>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</si>
  <si>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</si>
  <si>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</si>
  <si>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</si>
  <si>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</si>
  <si>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</si>
  <si>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</si>
  <si>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</si>
  <si>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</si>
  <si>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</si>
  <si>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</si>
  <si>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</si>
  <si>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</si>
  <si>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</si>
  <si>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</si>
  <si>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</si>
  <si>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</si>
  <si>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</si>
  <si>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</si>
  <si>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</si>
  <si>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</si>
  <si>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</si>
  <si>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</si>
  <si>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</si>
  <si>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</si>
  <si>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</si>
  <si>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</si>
  <si>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</si>
  <si>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</si>
  <si>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</si>
  <si>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</si>
  <si>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</si>
  <si>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</si>
  <si>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</si>
  <si>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</si>
  <si>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</si>
  <si>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</si>
  <si>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</si>
  <si>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</si>
  <si>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</si>
  <si>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</si>
  <si>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</si>
  <si>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</si>
  <si>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</si>
  <si>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</si>
  <si>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</si>
  <si>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</si>
  <si>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</si>
  <si>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</si>
  <si>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</si>
  <si>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</si>
  <si>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</si>
  <si>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</si>
  <si>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</si>
  <si>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</si>
  <si>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</si>
  <si>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</si>
  <si>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</si>
  <si>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</si>
  <si>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</si>
  <si>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</si>
  <si>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</si>
  <si>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</si>
  <si>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</si>
  <si>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</si>
  <si>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</si>
  <si>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</si>
  <si>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</si>
  <si>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</si>
  <si>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</si>
  <si>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</si>
  <si>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</si>
  <si>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</si>
  <si>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</si>
  <si>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</si>
  <si>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</si>
  <si>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</si>
  <si>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</si>
  <si>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</si>
  <si>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</si>
  <si>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</si>
  <si>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</si>
  <si>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</si>
  <si>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</si>
  <si>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</si>
  <si>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</si>
  <si>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</si>
  <si>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</si>
  <si>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</si>
  <si>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</si>
  <si>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</si>
  <si>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</si>
  <si>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</si>
  <si>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</si>
  <si>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</si>
  <si>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</si>
  <si>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</si>
  <si>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</si>
  <si>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</si>
  <si>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</si>
  <si>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</si>
  <si>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</si>
  <si>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</si>
  <si>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</si>
  <si>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</si>
  <si>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</si>
  <si>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</si>
  <si>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</si>
  <si>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</si>
  <si>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</si>
  <si>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</si>
  <si>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</si>
  <si>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</si>
  <si>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</si>
  <si>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</si>
  <si>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</si>
  <si>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</si>
  <si>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</si>
  <si>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</si>
  <si>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</si>
  <si>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</si>
  <si>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</si>
  <si>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</si>
  <si>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</si>
  <si>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</si>
  <si>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</si>
  <si>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</si>
  <si>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</si>
  <si>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</si>
  <si>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</si>
  <si>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</si>
  <si>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</si>
  <si>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</si>
  <si>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</si>
  <si>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</si>
  <si>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</si>
  <si>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</si>
  <si>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</si>
  <si>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</si>
  <si>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</si>
  <si>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</si>
  <si>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</si>
  <si>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</si>
  <si>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</si>
  <si>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</si>
  <si>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</si>
  <si>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</si>
  <si>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</si>
  <si>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</si>
  <si>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</si>
  <si>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</si>
  <si>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</si>
  <si>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</si>
  <si>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</si>
  <si>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</si>
  <si>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</si>
  <si>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</si>
  <si>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</si>
  <si>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</si>
  <si>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</si>
  <si>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</si>
  <si>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</si>
  <si>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</si>
  <si>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</si>
  <si>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</si>
  <si>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</si>
  <si>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</si>
  <si>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</si>
  <si>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</si>
  <si>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</si>
  <si>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</si>
  <si>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</si>
  <si>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</si>
  <si>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</si>
  <si>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</si>
  <si>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</si>
  <si>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</si>
  <si>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</si>
  <si>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</si>
  <si>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</si>
  <si>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</si>
  <si>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</si>
  <si>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</si>
  <si>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</si>
  <si>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</si>
  <si>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</si>
  <si>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</si>
  <si>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</si>
  <si>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</si>
  <si>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</si>
  <si>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</si>
  <si>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</si>
  <si>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</si>
  <si>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</si>
  <si>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</si>
  <si>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</si>
  <si>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</si>
  <si>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</si>
  <si>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</si>
  <si>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</si>
  <si>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</si>
  <si>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</si>
  <si>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</si>
  <si>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</si>
  <si>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</si>
  <si>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</si>
  <si>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</si>
  <si>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</si>
  <si>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</si>
  <si>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</si>
  <si>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</si>
  <si>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</si>
  <si>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</si>
  <si>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</si>
  <si>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</si>
  <si>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</si>
  <si>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</si>
  <si>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</si>
  <si>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</si>
  <si>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</si>
  <si>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</si>
  <si>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</si>
  <si>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</si>
  <si>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</si>
  <si>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</si>
  <si>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</si>
  <si>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</si>
  <si>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</si>
  <si>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</si>
  <si>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</si>
  <si>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</si>
  <si>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</si>
  <si>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</si>
  <si>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</si>
  <si>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</si>
  <si>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</si>
  <si>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</si>
  <si>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</si>
  <si>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</si>
  <si>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</si>
  <si>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</si>
  <si>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</si>
  <si>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</si>
  <si>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</si>
  <si>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</si>
  <si>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</si>
  <si>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</si>
  <si>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</si>
  <si>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</si>
  <si>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</si>
  <si>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</si>
  <si>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</si>
  <si>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</si>
  <si>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</si>
  <si>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</si>
  <si>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</si>
  <si>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</si>
  <si>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</si>
  <si>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</si>
  <si>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</si>
  <si>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</si>
  <si>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</si>
  <si>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</si>
  <si>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</si>
  <si>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</si>
  <si>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</si>
  <si>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</si>
  <si>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</si>
  <si>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</si>
  <si>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</si>
  <si>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</si>
  <si>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</si>
  <si>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</si>
  <si>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</si>
  <si>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</si>
  <si>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</si>
  <si>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</si>
  <si>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</si>
  <si>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</si>
  <si>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</si>
  <si>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</si>
  <si>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</si>
  <si>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</si>
  <si>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</si>
  <si>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</si>
  <si>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</si>
  <si>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</si>
  <si>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</si>
  <si>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</si>
  <si>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</si>
  <si>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</si>
  <si>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</si>
  <si>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</si>
  <si>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</si>
  <si>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</si>
  <si>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</si>
  <si>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</si>
  <si>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</si>
  <si>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</si>
  <si>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</si>
  <si>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</si>
  <si>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</si>
  <si>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</si>
  <si>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</si>
  <si>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</si>
  <si>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</si>
  <si>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</si>
  <si>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</si>
  <si>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</si>
  <si>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</si>
  <si>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</si>
  <si>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</si>
  <si>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</si>
  <si>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</si>
  <si>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</si>
  <si>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</si>
  <si>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</si>
  <si>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</si>
  <si>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</si>
  <si>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</si>
  <si>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</si>
  <si>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</si>
  <si>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</si>
  <si>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</si>
  <si>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</si>
  <si>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</si>
  <si>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</si>
  <si>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</si>
  <si>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</si>
  <si>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</si>
  <si>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</si>
  <si>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</si>
  <si>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</si>
  <si>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</si>
  <si>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</si>
  <si>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</si>
  <si>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</si>
  <si>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</si>
  <si>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</si>
  <si>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</si>
  <si>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</si>
  <si>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</si>
  <si>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</si>
  <si>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</si>
  <si>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</si>
  <si>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</si>
  <si>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</si>
  <si>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</si>
  <si>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</si>
  <si>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</si>
  <si>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</si>
  <si>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</si>
  <si>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</si>
  <si>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</si>
  <si>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</si>
  <si>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</si>
  <si>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</si>
  <si>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</si>
  <si>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</si>
  <si>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</si>
  <si>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</si>
  <si>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</si>
  <si>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</si>
  <si>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</si>
  <si>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</si>
  <si>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</si>
  <si>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</si>
  <si>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</si>
  <si>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</si>
  <si>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</si>
  <si>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</si>
  <si>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</si>
  <si>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</si>
  <si>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</si>
  <si>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</si>
  <si>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</si>
  <si>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</si>
  <si>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</si>
  <si>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</si>
  <si>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</si>
  <si>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</si>
  <si>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</si>
  <si>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</si>
  <si>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</si>
  <si>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</si>
  <si>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</si>
  <si>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</si>
  <si>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</si>
  <si>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</si>
  <si>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</si>
  <si>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</si>
  <si>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</si>
  <si>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</si>
  <si>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</si>
  <si>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</si>
  <si>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</si>
  <si>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</si>
  <si>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</si>
  <si>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</si>
  <si>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</si>
  <si>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</si>
  <si>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</si>
  <si>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</si>
  <si>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</si>
  <si>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</si>
  <si>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</si>
  <si>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</si>
  <si>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</si>
  <si>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</si>
  <si>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</si>
  <si>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</si>
  <si>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</si>
  <si>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</si>
  <si>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</si>
  <si>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</si>
  <si>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</si>
  <si>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</si>
  <si>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</si>
  <si>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</si>
  <si>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</si>
  <si>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</si>
  <si>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</si>
  <si>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</si>
  <si>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</si>
  <si>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</si>
  <si>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</si>
  <si>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</si>
  <si>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</si>
  <si>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</si>
  <si>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</si>
  <si>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</si>
  <si>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</si>
  <si>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</si>
  <si>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</si>
  <si>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</si>
  <si>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</si>
  <si>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</si>
  <si>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</si>
  <si>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</si>
  <si>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</si>
  <si>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</si>
  <si>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</si>
  <si>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</si>
  <si>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</si>
  <si>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</si>
  <si>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</si>
  <si>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</si>
  <si>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</si>
  <si>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</si>
  <si>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</si>
  <si>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</si>
  <si>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</si>
  <si>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</si>
  <si>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</si>
  <si>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</si>
  <si>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</si>
  <si>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</si>
  <si>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</si>
  <si>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</si>
  <si>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</si>
  <si>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</si>
  <si>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</si>
  <si>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</si>
  <si>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</si>
  <si>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</si>
  <si>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</si>
  <si>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</si>
  <si>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</si>
  <si>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</si>
  <si>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</si>
  <si>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</si>
  <si>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</si>
  <si>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</si>
  <si>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</si>
  <si>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</si>
  <si>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</si>
  <si>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</si>
  <si>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</si>
  <si>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</si>
  <si>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</si>
  <si>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</si>
  <si>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</si>
  <si>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</si>
  <si>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</si>
  <si>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</si>
  <si>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</si>
  <si>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</si>
  <si>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</si>
  <si>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</si>
  <si>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</si>
  <si>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</si>
  <si>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</si>
  <si>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</si>
  <si>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</si>
  <si>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</si>
  <si>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</si>
  <si>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</si>
  <si>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</si>
  <si>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</si>
  <si>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</si>
  <si>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</si>
  <si>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</si>
  <si>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</si>
  <si>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</si>
  <si>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</si>
  <si>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</si>
  <si>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</si>
  <si>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</si>
  <si>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</si>
  <si>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</si>
  <si>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</si>
  <si>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</si>
  <si>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</si>
  <si>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</si>
  <si>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</si>
  <si>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</si>
  <si>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</si>
  <si>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</si>
  <si>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</si>
  <si>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</si>
  <si>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</si>
  <si>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</si>
  <si>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</si>
  <si>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</si>
  <si>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</si>
  <si>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</si>
  <si>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</si>
  <si>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</si>
  <si>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</si>
  <si>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</si>
  <si>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</si>
  <si>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</si>
  <si>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</si>
  <si>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</si>
  <si>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</si>
  <si>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</si>
  <si>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</si>
  <si>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</si>
  <si>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</si>
  <si>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</si>
  <si>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</si>
  <si>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</si>
  <si>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</si>
  <si>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</si>
  <si>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</si>
  <si>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</si>
  <si>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</si>
  <si>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</si>
  <si>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</si>
  <si>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</si>
  <si>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</si>
  <si>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</si>
  <si>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</si>
  <si>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</si>
  <si>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</si>
  <si>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</si>
  <si>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</si>
  <si>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</si>
  <si>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</si>
  <si>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</si>
  <si>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</si>
  <si>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</si>
  <si>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</si>
  <si>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</si>
  <si>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</si>
  <si>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</si>
  <si>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</si>
  <si>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</si>
  <si>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</si>
  <si>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</si>
  <si>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</si>
  <si>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</si>
  <si>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</si>
  <si>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</si>
  <si>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</si>
  <si>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</si>
  <si>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</si>
  <si>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</si>
  <si>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</si>
  <si>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</si>
  <si>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</si>
  <si>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</si>
  <si>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</si>
  <si>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</si>
  <si>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</si>
  <si>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</si>
  <si>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</si>
  <si>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</si>
  <si>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</si>
  <si>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</si>
  <si>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</si>
  <si>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</si>
  <si>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</si>
  <si>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</si>
  <si>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</si>
  <si>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</si>
  <si>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</si>
  <si>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</si>
  <si>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</si>
  <si>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</si>
  <si>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</si>
  <si>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</si>
  <si>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</si>
  <si>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</si>
  <si>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</si>
  <si>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</si>
  <si>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</si>
  <si>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</si>
  <si>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</si>
  <si>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</si>
  <si>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</si>
  <si>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</si>
  <si>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</si>
  <si>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</si>
  <si>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</si>
  <si>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</si>
  <si>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</si>
  <si>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</si>
  <si>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</si>
  <si>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</si>
  <si>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</si>
  <si>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</si>
  <si>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</si>
  <si>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</si>
  <si>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</si>
  <si>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</si>
  <si>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</si>
  <si>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</si>
  <si>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</si>
  <si>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</si>
  <si>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</si>
  <si>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</si>
  <si>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</si>
  <si>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</si>
  <si>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</si>
  <si>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</si>
  <si>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</si>
  <si>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</si>
  <si>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</si>
  <si>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</si>
  <si>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</si>
  <si>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</si>
  <si>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</si>
  <si>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</si>
  <si>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</si>
  <si>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</si>
  <si>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</si>
  <si>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</si>
  <si>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</si>
  <si>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</si>
  <si>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</si>
  <si>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</si>
  <si>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</si>
  <si>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</si>
  <si>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</si>
  <si>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</si>
  <si>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</si>
  <si>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</si>
  <si>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</si>
  <si>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</si>
  <si>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</si>
  <si>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</si>
  <si>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</si>
  <si>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</si>
  <si>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</si>
  <si>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</si>
  <si>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</si>
  <si>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</si>
  <si>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</si>
  <si>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</si>
  <si>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</si>
  <si>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</si>
  <si>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</si>
  <si>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</si>
  <si>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</si>
  <si>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</si>
  <si>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</si>
  <si>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</si>
  <si>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</si>
  <si>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</si>
  <si>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</si>
  <si>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</si>
  <si>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</si>
  <si>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</si>
  <si>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</si>
  <si>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</si>
  <si>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</si>
  <si>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</si>
  <si>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</si>
  <si>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</si>
  <si>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</si>
  <si>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</si>
  <si>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</si>
  <si>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</si>
  <si>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</si>
  <si>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</si>
  <si>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</si>
  <si>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</si>
  <si>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</si>
  <si>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</si>
  <si>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</si>
  <si>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</si>
  <si>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</si>
  <si>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</si>
  <si>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</si>
  <si>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</si>
  <si>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</si>
  <si>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</si>
  <si>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</si>
  <si>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</si>
  <si>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</si>
  <si>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</si>
  <si>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</si>
  <si>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</si>
  <si>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</si>
  <si>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</si>
  <si>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</si>
  <si>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</si>
  <si>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</si>
  <si>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</si>
  <si>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</si>
  <si>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</si>
  <si>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</si>
  <si>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</si>
  <si>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</si>
  <si>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</si>
  <si>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</si>
  <si>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</si>
  <si>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</si>
  <si>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</si>
  <si>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</si>
  <si>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</si>
  <si>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</si>
  <si>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</si>
  <si>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</si>
  <si>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</si>
  <si>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</si>
  <si>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</si>
  <si>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</si>
  <si>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</si>
  <si>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</si>
  <si>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</si>
  <si>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</si>
  <si>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</si>
  <si>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</si>
  <si>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</si>
  <si>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</si>
  <si>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</si>
  <si>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</si>
  <si>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</si>
  <si>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</si>
  <si>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</si>
  <si>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</si>
  <si>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</si>
  <si>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</si>
  <si>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</si>
  <si>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</si>
  <si>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</si>
  <si>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</si>
  <si>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</si>
  <si>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</si>
  <si>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</si>
  <si>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</si>
  <si>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</si>
  <si>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</si>
  <si>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</si>
  <si>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</si>
  <si>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</si>
  <si>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</si>
  <si>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</si>
  <si>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</si>
  <si>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</si>
  <si>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</si>
  <si>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</si>
  <si>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</si>
  <si>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</si>
  <si>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</si>
  <si>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</si>
  <si>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</si>
  <si>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</si>
  <si>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</si>
  <si>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</si>
  <si>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</si>
  <si>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</si>
  <si>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</si>
  <si>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</si>
  <si>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</si>
  <si>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</si>
  <si>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</si>
  <si>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</si>
  <si>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</si>
  <si>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</si>
  <si>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</si>
  <si>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</si>
  <si>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</si>
  <si>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</si>
  <si>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</si>
  <si>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</si>
  <si>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</si>
  <si>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</si>
  <si>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</si>
  <si>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</si>
  <si>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</si>
  <si>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</si>
  <si>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</si>
  <si>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</si>
  <si>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</si>
  <si>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</si>
  <si>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</si>
  <si>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</si>
  <si>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</si>
  <si>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</si>
  <si>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</si>
  <si>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</si>
  <si>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</si>
  <si>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</si>
  <si>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</si>
  <si>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</si>
  <si>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</si>
  <si>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</si>
  <si>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</si>
  <si>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</si>
  <si>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</si>
  <si>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</si>
  <si>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</si>
  <si>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</si>
  <si>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</si>
  <si>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</si>
  <si>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</si>
  <si>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</si>
  <si>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</si>
  <si>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</si>
  <si>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</si>
  <si>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</si>
  <si>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</si>
  <si>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</si>
  <si>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</si>
  <si>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</si>
  <si>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</si>
  <si>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</si>
  <si>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</si>
  <si>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</si>
  <si>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</si>
  <si>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</si>
  <si>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</si>
  <si>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</si>
  <si>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</si>
  <si>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</si>
  <si>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</si>
  <si>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</si>
  <si>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</si>
  <si>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</si>
  <si>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</si>
  <si>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</si>
  <si>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</si>
  <si>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</si>
  <si>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</si>
  <si>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</si>
  <si>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</si>
  <si>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</si>
  <si>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</si>
  <si>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</si>
  <si>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</si>
  <si>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</si>
  <si>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</si>
  <si>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</si>
  <si>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</si>
  <si>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</si>
  <si>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</si>
  <si>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</si>
  <si>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</si>
  <si>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</si>
  <si>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</si>
  <si>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</si>
  <si>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</si>
  <si>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</si>
  <si>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</si>
  <si>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</si>
  <si>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</si>
  <si>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</si>
  <si>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</si>
  <si>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</si>
  <si>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</si>
  <si>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</si>
  <si>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</si>
  <si>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</si>
  <si>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</si>
  <si>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</si>
  <si>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</si>
  <si>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</si>
  <si>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</si>
  <si>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</si>
  <si>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</si>
  <si>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</si>
  <si>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</si>
  <si>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</si>
  <si>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</si>
  <si>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</si>
  <si>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</si>
  <si>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</si>
  <si>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</si>
  <si>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</si>
  <si>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</si>
  <si>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</si>
  <si>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</si>
  <si>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</si>
  <si>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</si>
  <si>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</si>
  <si>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</si>
  <si>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</si>
  <si>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</si>
  <si>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</si>
  <si>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</si>
  <si>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</si>
  <si>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</si>
  <si>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</si>
  <si>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</si>
  <si>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</si>
  <si>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</si>
  <si>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</si>
  <si>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</si>
  <si>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</si>
  <si>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</si>
  <si>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</si>
  <si>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</si>
  <si>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</si>
  <si>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</si>
  <si>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</si>
  <si>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</si>
  <si>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</si>
  <si>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</si>
  <si>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</si>
  <si>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</si>
  <si>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</si>
  <si>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</si>
  <si>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</si>
  <si>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</si>
  <si>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</si>
  <si>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</si>
  <si>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</si>
  <si>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</si>
  <si>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</si>
  <si>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</si>
  <si>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</si>
  <si>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</si>
  <si>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</si>
  <si>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</si>
  <si>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</si>
  <si>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</si>
  <si>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</si>
  <si>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</si>
  <si>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</si>
  <si>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</si>
  <si>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</si>
  <si>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</si>
  <si>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</si>
  <si>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</si>
  <si>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</si>
  <si>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</si>
  <si>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</si>
  <si>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</si>
  <si>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</si>
  <si>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</si>
  <si>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</si>
  <si>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</si>
  <si>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</si>
  <si>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</si>
  <si>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</si>
  <si>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</si>
  <si>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</si>
  <si>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</si>
  <si>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</si>
  <si>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</si>
  <si>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</si>
  <si>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</si>
  <si>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</si>
  <si>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</si>
  <si>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</si>
  <si>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</si>
  <si>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</si>
  <si>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</si>
  <si>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</si>
  <si>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</si>
  <si>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</si>
  <si>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</si>
  <si>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</si>
  <si>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</si>
  <si>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</si>
  <si>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</si>
  <si>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</si>
  <si>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</si>
  <si>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</si>
  <si>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</si>
  <si>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</si>
  <si>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</si>
  <si>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</si>
  <si>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</si>
  <si>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</si>
  <si>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</si>
  <si>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</si>
  <si>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</si>
  <si>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</si>
  <si>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</si>
  <si>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</si>
  <si>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</si>
  <si>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</si>
  <si>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</si>
  <si>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</si>
  <si>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</si>
  <si>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</si>
  <si>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</si>
  <si>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</si>
  <si>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</si>
  <si>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</si>
  <si>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</si>
  <si>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</si>
  <si>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</si>
  <si>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</si>
  <si>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</si>
  <si>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</si>
  <si>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</si>
  <si>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</si>
  <si>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</si>
  <si>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</si>
  <si>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</si>
  <si>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</si>
  <si>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</si>
  <si>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</si>
  <si>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</si>
  <si>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</si>
  <si>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</si>
  <si>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</si>
  <si>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</si>
  <si>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</si>
  <si>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</si>
  <si>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</si>
  <si>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</si>
  <si>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</si>
  <si>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</si>
  <si>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</si>
  <si>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</si>
  <si>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</si>
  <si>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</si>
  <si>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</si>
  <si>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</si>
  <si>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</si>
  <si>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</si>
  <si>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</si>
  <si>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</si>
  <si>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</si>
  <si>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</si>
  <si>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</si>
  <si>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</si>
  <si>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</si>
  <si>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</si>
  <si>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</si>
  <si>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</si>
  <si>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</si>
  <si>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</si>
  <si>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</si>
  <si>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</si>
  <si>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</si>
  <si>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</si>
  <si>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</si>
  <si>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</si>
  <si>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</si>
  <si>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</si>
  <si>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</si>
  <si>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</si>
  <si>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</si>
  <si>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</si>
  <si>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</si>
  <si>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</si>
  <si>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</si>
  <si>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</si>
  <si>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</si>
  <si>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</si>
  <si>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</si>
  <si>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</si>
  <si>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</si>
  <si>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</si>
  <si>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</si>
  <si>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</si>
  <si>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</si>
  <si>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</si>
  <si>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</si>
  <si>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</si>
  <si>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</si>
  <si>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</si>
  <si>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</si>
  <si>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</si>
  <si>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</si>
  <si>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</si>
  <si>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</si>
  <si>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</si>
  <si>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</si>
  <si>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</si>
  <si>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</si>
  <si>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</si>
  <si>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</si>
  <si>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</si>
  <si>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</si>
  <si>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</si>
  <si>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</si>
  <si>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</si>
  <si>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</si>
  <si>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</si>
  <si>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</si>
  <si>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</si>
  <si>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</si>
  <si>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</si>
  <si>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</si>
  <si>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</si>
  <si>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</si>
  <si>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</si>
  <si>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</si>
  <si>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</si>
  <si>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</si>
  <si>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</si>
  <si>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</si>
  <si>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</si>
  <si>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</si>
  <si>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</si>
  <si>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</si>
  <si>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</si>
  <si>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</si>
  <si>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</si>
  <si>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</si>
  <si>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</si>
  <si>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</si>
  <si>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</si>
  <si>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</si>
  <si>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</si>
  <si>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</si>
  <si>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</si>
  <si>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</si>
  <si>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</si>
  <si>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</si>
  <si>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</si>
  <si>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</si>
  <si>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</si>
  <si>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</si>
  <si>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</si>
  <si>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</si>
  <si>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</si>
  <si>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</si>
  <si>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</si>
  <si>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</si>
  <si>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</si>
  <si>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</si>
  <si>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</si>
  <si>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</si>
  <si>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</si>
  <si>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</si>
  <si>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</si>
  <si>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</si>
  <si>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</si>
  <si>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</si>
  <si>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</si>
  <si>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</si>
  <si>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</si>
  <si>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</si>
  <si>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</si>
  <si>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</si>
  <si>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</si>
  <si>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</si>
  <si>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</si>
  <si>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</si>
  <si>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</si>
  <si>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</si>
  <si>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</si>
  <si>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</si>
  <si>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</si>
  <si>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</si>
  <si>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</si>
  <si>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</si>
  <si>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</si>
  <si>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</si>
  <si>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</si>
  <si>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</si>
  <si>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</si>
  <si>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</si>
  <si>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</si>
  <si>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</si>
  <si>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</si>
  <si>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</si>
  <si>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</si>
  <si>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</si>
  <si>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</si>
  <si>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</si>
  <si>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</si>
  <si>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</si>
  <si>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</si>
  <si>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</si>
  <si>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</si>
  <si>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</si>
  <si>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</si>
  <si>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</si>
  <si>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</si>
  <si>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</si>
  <si>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</si>
  <si>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</si>
  <si>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</si>
  <si>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</si>
  <si>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</si>
  <si>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</si>
  <si>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</si>
  <si>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</si>
  <si>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</si>
  <si>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</si>
  <si>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</si>
  <si>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</si>
  <si>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</si>
  <si>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</si>
  <si>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</si>
  <si>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</si>
  <si>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</si>
  <si>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</si>
  <si>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</si>
  <si>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</si>
  <si>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</si>
  <si>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</si>
  <si>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</si>
  <si>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</si>
  <si>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</si>
  <si>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</si>
  <si>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</si>
  <si>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</si>
  <si>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</si>
  <si>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</si>
  <si>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</si>
  <si>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</si>
  <si>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</si>
  <si>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</si>
  <si>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</si>
  <si>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</si>
  <si>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</si>
  <si>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</si>
  <si>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</si>
  <si>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</si>
  <si>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</si>
  <si>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</si>
  <si>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</si>
  <si>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</si>
  <si>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</si>
  <si>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</si>
  <si>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</si>
  <si>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</si>
  <si>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</si>
  <si>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</si>
  <si>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</si>
  <si>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</si>
  <si>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</si>
  <si>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</si>
  <si>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</si>
  <si>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</si>
  <si>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</si>
  <si>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</si>
  <si>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</si>
  <si>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</si>
  <si>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</si>
  <si>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</si>
  <si>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</si>
  <si>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</si>
  <si>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</si>
  <si>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</si>
  <si>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</si>
  <si>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</si>
  <si>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</si>
  <si>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</si>
  <si>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</si>
  <si>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</si>
  <si>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</si>
  <si>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</si>
  <si>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</si>
  <si>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</si>
  <si>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</si>
  <si>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</si>
  <si>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</si>
  <si>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</si>
  <si>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</si>
  <si>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</si>
  <si>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</si>
  <si>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</si>
  <si>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</si>
  <si>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</si>
  <si>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</si>
  <si>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</si>
  <si>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</si>
  <si>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</si>
  <si>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</si>
  <si>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</si>
  <si>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</si>
  <si>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</si>
  <si>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</si>
  <si>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</si>
  <si>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</si>
  <si>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</si>
  <si>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</si>
  <si>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</si>
  <si>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</si>
  <si>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</si>
  <si>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</si>
  <si>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</si>
  <si>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</si>
  <si>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</si>
  <si>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</si>
  <si>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</si>
  <si>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</si>
  <si>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</si>
  <si>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</si>
  <si>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</si>
  <si>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</si>
  <si>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</si>
  <si>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</si>
  <si>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</si>
  <si>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</si>
  <si>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</si>
  <si>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</si>
  <si>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</si>
  <si>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</si>
  <si>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</si>
  <si>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</si>
  <si>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</si>
  <si>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</si>
  <si>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</si>
  <si>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</si>
  <si>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</si>
  <si>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</si>
  <si>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</si>
  <si>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</si>
  <si>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</si>
  <si>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</si>
  <si>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</si>
  <si>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</si>
  <si>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</si>
  <si>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</si>
  <si>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</si>
  <si>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</si>
  <si>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</si>
  <si>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</si>
  <si>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</si>
  <si>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</si>
  <si>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</si>
  <si>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</si>
  <si>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</si>
  <si>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</si>
  <si>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</si>
  <si>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</si>
  <si>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</si>
  <si>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</si>
  <si>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</si>
  <si>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</si>
  <si>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</si>
  <si>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</si>
  <si>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</si>
  <si>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</si>
  <si>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</si>
  <si>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</si>
  <si>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</si>
  <si>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</si>
  <si>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</si>
  <si>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</si>
  <si>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</si>
  <si>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</si>
  <si>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</si>
  <si>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</si>
  <si>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</si>
  <si>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</si>
  <si>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</si>
  <si>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</si>
  <si>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</si>
  <si>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</si>
  <si>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</si>
  <si>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</si>
  <si>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</si>
  <si>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</si>
  <si>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</si>
  <si>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</si>
  <si>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</si>
  <si>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</si>
  <si>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</si>
  <si>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</si>
  <si>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</si>
  <si>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</si>
  <si>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</si>
  <si>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</si>
  <si>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</si>
  <si>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</si>
  <si>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</si>
  <si>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</si>
  <si>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</si>
  <si>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</si>
  <si>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</si>
  <si>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</si>
  <si>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</si>
  <si>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</si>
  <si>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</si>
  <si>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</si>
  <si>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</si>
  <si>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</si>
  <si>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</si>
  <si>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</si>
  <si>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</si>
  <si>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</si>
  <si>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</si>
  <si>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</si>
  <si>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</si>
  <si>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</si>
  <si>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</si>
  <si>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</si>
  <si>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</si>
  <si>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</si>
  <si>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</si>
  <si>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</si>
  <si>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</si>
  <si>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</si>
  <si>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</si>
  <si>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</si>
  <si>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</si>
  <si>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</si>
  <si>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</si>
  <si>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</si>
  <si>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</si>
  <si>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</si>
  <si>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</si>
  <si>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</si>
  <si>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</si>
  <si>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</si>
  <si>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</si>
  <si>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</si>
  <si>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</si>
  <si>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</si>
  <si>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</si>
  <si>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</si>
  <si>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</si>
  <si>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</si>
  <si>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</si>
  <si>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企业</t>
  </si>
  <si>
    <t>办公</t>
    <phoneticPr fontId="224" type="noConversion"/>
  </si>
  <si>
    <t>比较法-办公</t>
  </si>
  <si>
    <t>尖子班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</si>
</sst>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419100</xdr:colOff>
      <xdr:row>0</xdr:row>
      <xdr:rowOff>0</xdr:rowOff>
    </xdr:from>
    <xdr:to>
      <xdr:col>16</xdr:col>
      <xdr:colOff>228119</xdr:colOff>
      <xdr:row>33</xdr:row>
      <xdr:rowOff>18340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515100" y="0"/>
          <a:ext cx="3466619" cy="605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1" customWidth="1"/>
    <col min="2" max="2" width="81" style="3152" customWidth="1"/>
    <col min="3" max="16384" width="9" style="3150"/>
  </cols>
  <sheetData>
    <row r="1" spans="1:2" s="3148" customFormat="1">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估价对象为北京市房地产，为所有。根据《国有土地使用证》[]，估价对象（分摊）出让国有建设用地使用权面积为0平方米，建筑面积为119.41平方米。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估价对象为北京市房地产,属开发建设的办公项目，该项目尚在开发建设中。根据《国有土地使用证》[]，估价对象（分摊）出让国有建设用地使用权面积为0平方米，规划建筑面积为119.41平方米。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205</v>
      </c>
    </row>
    <row r="21" spans="1:2">
      <c r="A21" s="3157" t="s">
        <v>21</v>
      </c>
      <c r="B21" s="3158">
        <f ca="1">'预评函-2'!D7</f>
        <v>17127</v>
      </c>
    </row>
    <row r="22" spans="1:2">
      <c r="A22" s="3157" t="s">
        <v>22</v>
      </c>
      <c r="B22" s="3158" t="str">
        <f ca="1">'预评函-2'!D6</f>
        <v>贰佰零伍万元整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205</v>
      </c>
    </row>
    <row r="31" spans="1:2">
      <c r="A31" s="3157" t="s">
        <v>31</v>
      </c>
      <c r="B31" s="3158">
        <f ca="1">'预评函-2'!D15</f>
        <v>17127</v>
      </c>
    </row>
    <row r="32" spans="1:2">
      <c r="A32" s="3157" t="s">
        <v>32</v>
      </c>
      <c r="B32" s="3158" t="str">
        <f ca="1">'预评函-2'!D14</f>
        <v>贰佰零伍万元整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ht="31.2">
      <c r="A42" s="3157" t="s">
        <v>42</v>
      </c>
      <c r="B42" s="3158" t="str">
        <f>'预评函-3'!B2</f>
        <v>建筑面积</v>
      </c>
    </row>
    <row r="43" spans="1:2">
      <c r="A43" s="3157" t="s">
        <v>43</v>
      </c>
      <c r="B43" s="3158">
        <f>'预评函-3'!B4</f>
        <v>119.41</v>
      </c>
    </row>
    <row r="44" spans="1:2" ht="3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4" customWidth="1"/>
    <col min="2" max="2" width="23.21875"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3"/>
    <col min="8" max="8" width="5.44140625" style="2993" customWidth="1"/>
    <col min="9" max="13" width="9.44140625" style="2994" customWidth="1"/>
    <col min="14" max="18" width="9.44140625" style="2993" customWidth="1"/>
    <col min="19" max="16384" width="15.2187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24" sqref="N24:N25"/>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36.1</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119.41</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36">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36">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2">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3.2">
      <c r="A3" s="2801"/>
      <c r="B3" s="2802">
        <f>IF(C3="否",G5-AT5,G5)</f>
        <v>119.41</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3.2">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3.2">
      <c r="A5" s="1998" t="s">
        <v>577</v>
      </c>
      <c r="B5" s="2227"/>
      <c r="C5" s="2227"/>
      <c r="D5" s="2350"/>
      <c r="E5" s="2806" t="s">
        <v>124</v>
      </c>
      <c r="F5" s="2806">
        <f>SUM(F13:F587)</f>
        <v>0</v>
      </c>
      <c r="G5" s="2806">
        <f>SUM(G13:G587)</f>
        <v>119.41</v>
      </c>
      <c r="H5" s="2806">
        <f t="shared" ref="H5:AT5" si="0">SUM(H13:H656)</f>
        <v>119.41</v>
      </c>
      <c r="I5" s="2806">
        <f t="shared" si="0"/>
        <v>119.41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119.41</v>
      </c>
      <c r="BA5" s="2859">
        <f t="shared" si="1"/>
        <v>119.41</v>
      </c>
      <c r="BB5" s="2859">
        <f t="shared" si="1"/>
        <v>119.41</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3.2">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5.2">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3.2">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3.2">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3.2">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3.2">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3.2">
      <c r="A13" s="908"/>
      <c r="B13" s="908"/>
      <c r="C13" s="908">
        <v>708</v>
      </c>
      <c r="D13" s="2820" t="s">
        <v>605</v>
      </c>
      <c r="E13" s="2806">
        <f>IF($C$3="是",ROUND($A$3*G13/$B$3,2),ROUND($A$3*(G13-AT13)/$B$3,2))</f>
        <v>0</v>
      </c>
      <c r="F13" s="2821"/>
      <c r="G13" s="2822">
        <f>H13+AC13+AT13</f>
        <v>119.41</v>
      </c>
      <c r="H13" s="2809">
        <f>SUMIF(I$12:AB$12,"总值",I13:AB13)</f>
        <v>119.41</v>
      </c>
      <c r="I13" s="2834">
        <v>119.41</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708</v>
      </c>
      <c r="AY13" s="2350">
        <f>ROUND($AY$6*AZ13/$AZ$5,2)</f>
        <v>0</v>
      </c>
      <c r="AZ13" s="2806">
        <f>BA13+BL13</f>
        <v>119.41</v>
      </c>
      <c r="BA13" s="2806">
        <f>SUM(BB13:BK13)</f>
        <v>119.41</v>
      </c>
      <c r="BB13" s="2806">
        <f>IF($D13="是",I13-J13,0)</f>
        <v>119.41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3.2">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3.2">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3.2">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3.2">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D21" sqref="D21"/>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606</v>
      </c>
      <c r="B1" s="2288"/>
      <c r="C1" s="2288"/>
      <c r="D1" s="2288"/>
      <c r="E1" s="2288"/>
      <c r="F1" s="2288"/>
      <c r="G1" s="2288"/>
      <c r="H1" s="2288"/>
      <c r="I1" s="2288"/>
      <c r="J1" s="2288"/>
      <c r="K1" s="2288"/>
      <c r="L1" s="2288"/>
      <c r="M1" s="2288"/>
      <c r="N1" s="2288"/>
      <c r="O1" s="2288"/>
      <c r="P1" s="2288"/>
    </row>
    <row r="2" spans="1:16" ht="14.4">
      <c r="A2" s="3253" t="s">
        <v>607</v>
      </c>
      <c r="B2" s="3253"/>
      <c r="C2" s="3253"/>
      <c r="D2" s="2142" t="s">
        <v>608</v>
      </c>
      <c r="E2" s="2734" t="s">
        <v>609</v>
      </c>
      <c r="F2" s="2592"/>
      <c r="G2" s="2735"/>
      <c r="H2" s="2736"/>
      <c r="I2" s="2430" t="s">
        <v>610</v>
      </c>
      <c r="J2" s="2592"/>
      <c r="K2" s="2592"/>
      <c r="L2" s="2592"/>
      <c r="M2" s="2592"/>
      <c r="N2" s="1175"/>
      <c r="O2" s="2592"/>
      <c r="P2" s="2592"/>
    </row>
    <row r="3" spans="1:16" ht="14.4">
      <c r="A3" s="3254" t="s">
        <v>611</v>
      </c>
      <c r="B3" s="3254"/>
      <c r="C3" s="3254"/>
      <c r="D3" s="2737">
        <f>'数据-基础表'!AY6</f>
        <v>0</v>
      </c>
      <c r="E3" s="2737">
        <f>'数据-基础表'!AZ5</f>
        <v>119.41</v>
      </c>
      <c r="F3" s="2592"/>
      <c r="G3" s="2738"/>
      <c r="H3" s="2241" t="s">
        <v>612</v>
      </c>
      <c r="I3" s="2096" t="e">
        <f>ROUND('数据-基础表'!B3/'数据-基础表'!A3,2)</f>
        <v>#DIV/0!</v>
      </c>
      <c r="J3" s="2592"/>
      <c r="K3" s="2592"/>
      <c r="L3" s="2592"/>
      <c r="M3" s="2592"/>
      <c r="N3" s="1175"/>
      <c r="O3" s="2592"/>
      <c r="P3" s="2592"/>
    </row>
    <row r="4" spans="1:16" ht="14.4">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ht="14.4">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ht="14.4">
      <c r="A6" s="2743"/>
      <c r="B6" s="3258" t="s">
        <v>617</v>
      </c>
      <c r="C6" s="3258"/>
      <c r="D6" s="2241">
        <f>ROUND($D$3*E6/$E$3,2)</f>
        <v>0</v>
      </c>
      <c r="E6" s="2742">
        <f>E3-E5</f>
        <v>119.41</v>
      </c>
      <c r="F6" s="2592"/>
      <c r="G6" s="2744" t="s">
        <v>618</v>
      </c>
      <c r="H6" s="2745" t="s">
        <v>614</v>
      </c>
      <c r="I6" s="2784" t="e">
        <f>ROUND(F31/D31,2)</f>
        <v>#DIV/0!</v>
      </c>
      <c r="J6" s="2592"/>
      <c r="K6" s="2592"/>
      <c r="L6" s="2592"/>
      <c r="M6" s="2592"/>
      <c r="N6" s="2592"/>
      <c r="O6" s="2592"/>
      <c r="P6" s="2592"/>
    </row>
    <row r="7" spans="1:16" ht="14.4">
      <c r="A7" s="3244"/>
      <c r="B7" s="3245"/>
      <c r="C7" s="3246"/>
      <c r="D7" s="2739" t="s">
        <v>608</v>
      </c>
      <c r="E7" s="2746" t="s">
        <v>619</v>
      </c>
      <c r="F7" s="2592"/>
      <c r="G7" s="2747" t="s">
        <v>620</v>
      </c>
      <c r="H7" s="2712"/>
      <c r="I7" s="2785">
        <v>3.5</v>
      </c>
      <c r="J7" s="2592"/>
      <c r="K7" s="2592"/>
      <c r="L7" s="2592"/>
      <c r="M7" s="2592"/>
      <c r="N7" s="2592"/>
      <c r="O7" s="2592"/>
      <c r="P7" s="2592"/>
    </row>
    <row r="8" spans="1:16" ht="14.4">
      <c r="A8" s="2738" t="s">
        <v>621</v>
      </c>
      <c r="B8" s="2745" t="s">
        <v>622</v>
      </c>
      <c r="C8" s="2241" t="s">
        <v>623</v>
      </c>
      <c r="D8" s="2241">
        <f t="shared" ref="D8:D15" si="0">ROUND($D$3*E8/$E$3,2)</f>
        <v>0</v>
      </c>
      <c r="E8" s="2748">
        <f>SUMIF('数据-基础表'!BB10:BK10,"地上",'数据-基础表'!BB5:BK5)</f>
        <v>119.41</v>
      </c>
      <c r="F8" s="2592"/>
      <c r="G8" s="2592"/>
      <c r="H8" s="2592"/>
      <c r="I8" s="2592"/>
      <c r="J8" s="2592"/>
      <c r="K8" s="2592"/>
      <c r="L8" s="2592"/>
      <c r="M8" s="2592"/>
      <c r="N8" s="2592"/>
      <c r="O8" s="2592"/>
      <c r="P8" s="2592"/>
    </row>
    <row r="9" spans="1:16" ht="14.4">
      <c r="A9" s="2744"/>
      <c r="B9" s="2749"/>
      <c r="C9" s="2241" t="s">
        <v>624</v>
      </c>
      <c r="D9" s="2241">
        <f t="shared" si="0"/>
        <v>0</v>
      </c>
      <c r="E9" s="2750">
        <v>0</v>
      </c>
      <c r="F9" s="2592"/>
      <c r="G9" s="2592"/>
      <c r="H9" s="2592"/>
      <c r="I9" s="2592"/>
      <c r="J9" s="2592"/>
      <c r="K9" s="2592"/>
      <c r="L9" s="2592"/>
      <c r="M9" s="2592"/>
      <c r="N9" s="2592"/>
      <c r="O9" s="2592"/>
      <c r="P9" s="2592"/>
    </row>
    <row r="10" spans="1:16" ht="14.4">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3"/>
      <c r="B16" s="2749"/>
      <c r="C16" s="2745" t="s">
        <v>631</v>
      </c>
      <c r="D16" s="2745">
        <f>SUM(D8:D15)</f>
        <v>0</v>
      </c>
      <c r="E16" s="2751">
        <f>SUM(E8:E15)</f>
        <v>119.41</v>
      </c>
      <c r="F16" s="2592"/>
      <c r="G16" s="2592"/>
      <c r="H16" s="2752" t="s">
        <v>632</v>
      </c>
      <c r="I16" s="2786"/>
      <c r="J16" s="2288"/>
      <c r="K16" s="3247" t="s">
        <v>632</v>
      </c>
      <c r="L16" s="3248"/>
      <c r="M16" s="3248"/>
      <c r="N16" s="3248"/>
      <c r="O16" s="3248"/>
      <c r="P16" s="3249"/>
    </row>
    <row r="17" spans="1:19" ht="14.4">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4.4">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ht="14.4">
      <c r="A19" s="2764"/>
      <c r="B19" s="2745" t="s">
        <v>648</v>
      </c>
      <c r="C19" s="2765" t="s">
        <v>2802</v>
      </c>
      <c r="D19" s="2241">
        <f>ROUND($D$3*E19/$E$3,2)</f>
        <v>0</v>
      </c>
      <c r="E19" s="2766">
        <f t="shared" ref="E19:E26" si="1">SUM(F19:G19)</f>
        <v>119.41</v>
      </c>
      <c r="F19" s="2767">
        <f>'数据-基础表'!I13</f>
        <v>119.41</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119.41</v>
      </c>
    </row>
    <row r="20" spans="1:19" ht="14.4">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ht="14.4">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ht="14.4">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ht="14.4">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ht="14.4">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ht="14.4">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ht="14.4">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4.4">
      <c r="A27" s="2764"/>
      <c r="B27" s="2241"/>
      <c r="C27" s="2433" t="s">
        <v>649</v>
      </c>
      <c r="D27" s="2772">
        <f>SUM(D19:D26)</f>
        <v>0</v>
      </c>
      <c r="E27" s="2773">
        <f>IF(SUM(E19:E26)='数据-基础表'!BA5,SUM(E19:E26),IF(F27="地上面积有误","面积有误","地下面积有误"))</f>
        <v>119.41</v>
      </c>
      <c r="F27" s="2772">
        <f>IF(SUM(F19:F26)=E8,SUM(F19:F26),"地上面积有误")</f>
        <v>119.41</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119.41</v>
      </c>
    </row>
    <row r="28" spans="1:19" ht="14.4">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ht="14.4">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4.4">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4.4">
      <c r="A31" s="2778"/>
      <c r="B31" s="2702"/>
      <c r="C31" s="2184" t="s">
        <v>653</v>
      </c>
      <c r="D31" s="2779">
        <f>D27+D30</f>
        <v>0</v>
      </c>
      <c r="E31" s="2779">
        <f>E27+E30</f>
        <v>119.41</v>
      </c>
      <c r="F31" s="2780">
        <f>F27+F30</f>
        <v>119.41</v>
      </c>
      <c r="G31" s="2781">
        <f>G27+G30</f>
        <v>0</v>
      </c>
      <c r="H31" s="2592"/>
      <c r="I31" s="2592"/>
      <c r="J31" s="2592"/>
      <c r="K31" s="2592"/>
      <c r="L31" s="2592"/>
      <c r="M31" s="2592"/>
      <c r="N31" s="2592"/>
      <c r="O31" s="2592"/>
      <c r="P31" s="2592"/>
    </row>
    <row r="32" spans="1:19" ht="14.4">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M7" sqref="AM7"/>
    </sheetView>
  </sheetViews>
  <sheetFormatPr defaultColWidth="13.77734375" defaultRowHeight="13.2"/>
  <cols>
    <col min="1" max="1" width="20.88671875" style="2556" customWidth="1"/>
    <col min="2" max="2" width="12" style="2217" customWidth="1"/>
    <col min="3" max="3" width="12.77734375" style="2217" customWidth="1"/>
    <col min="4" max="4" width="9.109375" style="2557" customWidth="1"/>
    <col min="5" max="5" width="15" style="2217" customWidth="1"/>
    <col min="6" max="10" width="8.88671875" style="2217" customWidth="1"/>
    <col min="11" max="12" width="12.33203125" style="2558"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7.4414062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897"/>
    <col min="41" max="41" width="11.6640625" style="897" customWidth="1"/>
    <col min="42" max="42" width="9.77734375" style="897" customWidth="1"/>
    <col min="43" max="67" width="13.77734375" style="897"/>
    <col min="68" max="16384" width="13.77734375" style="2217"/>
  </cols>
  <sheetData>
    <row r="1" spans="1:67" ht="17.399999999999999">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4.4">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3.8">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36.1</v>
      </c>
      <c r="G6" s="2578">
        <f>IF(ISERROR(ROUND(POWER(1+H6,D6-F6)*(POWER(1+H6,F6)-1)/(POWER(1+H6,D6)-1),3)),0,ROUND(POWER(1+H6,D6-F6)*(POWER(1+H6,F6)-1)/(POWER(1+H6,D6)-1),3))</f>
        <v>0.90700000000000003</v>
      </c>
      <c r="H6" s="2579">
        <v>0.05</v>
      </c>
      <c r="I6" s="2579">
        <v>5.5E-2</v>
      </c>
      <c r="J6" s="2580">
        <v>7.0000000000000007E-2</v>
      </c>
      <c r="K6" s="2663">
        <f>SUMIF('数据-汇总表'!C$19:C$33,A6,'数据-汇总表'!E$19:E$33)</f>
        <v>119.41</v>
      </c>
      <c r="L6" s="2664">
        <v>4500</v>
      </c>
      <c r="M6" s="2665">
        <f t="shared" ref="M6:M14" si="0">ROUND(K6*L6/10000,0)</f>
        <v>54</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36.1</v>
      </c>
      <c r="AF6" s="2228"/>
      <c r="AG6" s="1595">
        <f>IF(AF6="",0,AE6-AF6)</f>
        <v>0</v>
      </c>
      <c r="AH6" s="2715"/>
      <c r="AI6" s="2716">
        <v>365</v>
      </c>
      <c r="AJ6" s="2228"/>
      <c r="AK6" s="2717">
        <v>5.0000000000000001E-3</v>
      </c>
      <c r="AL6" s="2718">
        <v>1E-3</v>
      </c>
      <c r="AM6" s="2719">
        <v>0.01</v>
      </c>
      <c r="AN6" s="2720" t="s">
        <v>285</v>
      </c>
      <c r="AO6" s="1227">
        <f ca="1">SUMIF(INDIRECT("'"&amp;AN6&amp;"'"&amp;"!A:A"),"总价",INDIRECT("'"&amp;AN6&amp;"'"&amp;"!B:B"))</f>
        <v>115.8048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119.41</v>
      </c>
      <c r="L16" s="2674">
        <f>ROUND(M16*10000/SUM(K6:K14),0)</f>
        <v>4522</v>
      </c>
      <c r="M16" s="2674">
        <f>SUM(M6:M14)</f>
        <v>54</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10.200150741143958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4">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119.41</v>
      </c>
      <c r="U18" s="2125">
        <v>423400</v>
      </c>
      <c r="V18" s="3168">
        <f>U18/365/K16</f>
        <v>9.7144292772799599</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4">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4">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99.11</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4">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2.1</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4">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4">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4">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3.8">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4">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8.8">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8.8">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8.8">
      <c r="A29" s="2613" t="s">
        <v>714</v>
      </c>
      <c r="B29" s="2614">
        <f>ROUND('数据-取费表'!B28*'数据-取费表'!K16,0)</f>
        <v>23882</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8.8">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8.8">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8.8">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4">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4">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4">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4">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4">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4">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4">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3.8">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4">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4">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4">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4">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4">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4">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4">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4">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4">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4">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4">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4">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8.8">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4">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4">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4">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4">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4">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4">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4">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4">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4">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4">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499" customWidth="1"/>
    <col min="2" max="3" width="24.44140625" style="1515" customWidth="1"/>
    <col min="4" max="4" width="2.6640625" style="1515" customWidth="1"/>
    <col min="5" max="5" width="5.88671875" style="1515" customWidth="1"/>
    <col min="6" max="7" width="27" style="1515"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114" customWidth="1"/>
    <col min="19" max="29" width="9" style="2114"/>
    <col min="30" max="16384" width="9" style="2499"/>
  </cols>
  <sheetData>
    <row r="1" spans="1:29" s="2498" customFormat="1" ht="17.399999999999999">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39.6">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ht="24">
      <c r="A6" s="2511"/>
      <c r="B6" s="1889" t="s">
        <v>772</v>
      </c>
      <c r="C6" s="2516"/>
      <c r="D6" s="2510"/>
      <c r="E6" s="2515"/>
      <c r="F6" s="1889" t="s">
        <v>776</v>
      </c>
      <c r="G6" s="2516" t="s">
        <v>777</v>
      </c>
      <c r="H6" s="2114"/>
      <c r="I6" s="2114"/>
      <c r="J6" s="2114"/>
      <c r="K6" s="2114"/>
      <c r="L6" s="2114"/>
      <c r="M6" s="2114"/>
      <c r="N6" s="2114"/>
      <c r="O6" s="2114"/>
      <c r="P6" s="2114"/>
      <c r="Q6" s="2114"/>
    </row>
    <row r="7" spans="1:29" ht="36">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782</v>
      </c>
      <c r="B13" s="2525"/>
      <c r="C13" s="2525"/>
      <c r="D13" s="2524"/>
      <c r="E13" s="2525"/>
      <c r="F13" s="2525"/>
      <c r="G13" s="2525"/>
    </row>
    <row r="14" spans="1:29">
      <c r="A14" s="2528"/>
      <c r="B14" s="2528"/>
      <c r="C14" s="2529" t="s">
        <v>765</v>
      </c>
      <c r="D14" s="2510"/>
      <c r="E14" s="2530"/>
      <c r="F14" s="2530"/>
      <c r="G14" s="2504" t="s">
        <v>766</v>
      </c>
    </row>
    <row r="15" spans="1:29" ht="39.6">
      <c r="A15" s="2531" t="s">
        <v>767</v>
      </c>
      <c r="B15" s="2532" t="s">
        <v>768</v>
      </c>
      <c r="C15" s="2533">
        <f>C3</f>
        <v>0</v>
      </c>
      <c r="D15" s="2510"/>
      <c r="E15" s="2534" t="s">
        <v>767</v>
      </c>
      <c r="F15" s="2532" t="s">
        <v>769</v>
      </c>
      <c r="G15" s="2535" t="str">
        <f>G3</f>
        <v>估价对象位于XX开发区，园区建设成熟度XX，产业集聚程度XX</v>
      </c>
    </row>
    <row r="16" spans="1:29" ht="39.6">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39.6">
      <c r="A18" s="2536"/>
      <c r="B18" s="2540" t="s">
        <v>772</v>
      </c>
      <c r="C18" s="2541">
        <f>C6</f>
        <v>0</v>
      </c>
      <c r="D18" s="2517"/>
      <c r="E18" s="2539"/>
      <c r="F18" s="2540" t="s">
        <v>778</v>
      </c>
      <c r="G18" s="2541" t="str">
        <f>G7</f>
        <v>该园区内是否有污染型企业，绿化情况，卫生条件，整体环境状况判断</v>
      </c>
    </row>
    <row r="19" spans="1:17" ht="26.4">
      <c r="A19" s="2536"/>
      <c r="B19" s="2540" t="s">
        <v>783</v>
      </c>
      <c r="C19" s="2542"/>
      <c r="D19" s="2510"/>
      <c r="E19" s="2539"/>
      <c r="F19" s="1889" t="s">
        <v>597</v>
      </c>
      <c r="G19" s="2541" t="str">
        <f>G5</f>
        <v>估价对象所在区域公共配套设施齐备情况</v>
      </c>
    </row>
    <row r="20" spans="1:17" ht="26.4">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33" sqref="E33"/>
    </sheetView>
  </sheetViews>
  <sheetFormatPr defaultColWidth="9" defaultRowHeight="14.4"/>
  <cols>
    <col min="1" max="1" width="25" style="2484" customWidth="1"/>
    <col min="2" max="9" width="15.77734375" style="2484" customWidth="1"/>
    <col min="10" max="16384" width="9" style="2484"/>
  </cols>
  <sheetData>
    <row r="1" spans="1:11" ht="16.2">
      <c r="A1" s="2485" t="s">
        <v>786</v>
      </c>
      <c r="B1" s="2485">
        <f>SUM(B14:B23)</f>
        <v>119.41</v>
      </c>
      <c r="C1" s="2486"/>
      <c r="D1" s="2486"/>
      <c r="E1" s="2486"/>
      <c r="F1" s="2486"/>
      <c r="G1" s="2487"/>
      <c r="H1" s="2487"/>
      <c r="I1" s="2487"/>
      <c r="J1" s="2487"/>
      <c r="K1" s="2487"/>
    </row>
    <row r="2" spans="1:11" ht="16.2">
      <c r="A2" s="2485" t="s">
        <v>787</v>
      </c>
      <c r="B2" s="2485">
        <f>SUM(C14:C23)</f>
        <v>0</v>
      </c>
      <c r="C2" s="2486"/>
      <c r="D2" s="2486"/>
      <c r="E2" s="2486"/>
      <c r="F2" s="2486"/>
      <c r="G2" s="2487"/>
      <c r="H2" s="2487"/>
      <c r="I2" s="2487"/>
      <c r="J2" s="2487"/>
      <c r="K2" s="2487"/>
    </row>
    <row r="3" spans="1:11" ht="15.6">
      <c r="A3" s="2485" t="s">
        <v>788</v>
      </c>
      <c r="B3" s="2488">
        <f>项目基本情况!D3</f>
        <v>45958</v>
      </c>
      <c r="C3" s="2486"/>
      <c r="D3" s="2486"/>
      <c r="E3" s="2486"/>
      <c r="F3" s="2486"/>
      <c r="G3" s="2487"/>
      <c r="H3" s="2487"/>
      <c r="I3" s="2487"/>
      <c r="J3" s="2487"/>
      <c r="K3" s="2487"/>
    </row>
    <row r="4" spans="1:11" ht="31.2">
      <c r="A4" s="2485" t="s">
        <v>789</v>
      </c>
      <c r="B4" s="2485" t="s">
        <v>790</v>
      </c>
      <c r="C4" s="2485" t="s">
        <v>791</v>
      </c>
      <c r="D4" s="2485" t="s">
        <v>792</v>
      </c>
      <c r="E4" s="2486"/>
      <c r="F4" s="2487"/>
      <c r="G4" s="2487"/>
      <c r="H4" s="2487"/>
      <c r="I4" s="2487"/>
      <c r="J4" s="2487"/>
      <c r="K4" s="2487"/>
    </row>
    <row r="5" spans="1:11" ht="15.6">
      <c r="A5" s="2485" t="s">
        <v>793</v>
      </c>
      <c r="B5" s="2485">
        <f ca="1">SUM(D14:D23)</f>
        <v>205</v>
      </c>
      <c r="C5" s="2485">
        <f ca="1">IF(B5=D14,结果表!H102,ROUND(B5*10000/$B$1,0))</f>
        <v>17127</v>
      </c>
      <c r="D5" s="2485" t="e">
        <f ca="1">ROUND(B5*10000/$B$2,0)</f>
        <v>#DIV/0!</v>
      </c>
      <c r="E5" s="2486"/>
      <c r="F5" s="2487"/>
      <c r="G5" s="2487"/>
      <c r="H5" s="2487"/>
      <c r="I5" s="2487"/>
      <c r="J5" s="2487"/>
      <c r="K5" s="2487"/>
    </row>
    <row r="6" spans="1:11" ht="15.6">
      <c r="A6" s="2485" t="s">
        <v>794</v>
      </c>
      <c r="B6" s="2485">
        <f ca="1">SUM(G14:G23)</f>
        <v>205</v>
      </c>
      <c r="C6" s="2485">
        <f ca="1">IF(B6=G14,结果表!H108,ROUND(B6*10000/$B$1,0))</f>
        <v>17127</v>
      </c>
      <c r="D6" s="2485" t="e">
        <f ca="1">ROUND(B6*10000/$B$2,0)</f>
        <v>#DIV/0!</v>
      </c>
      <c r="E6" s="2486"/>
      <c r="F6" s="2487"/>
      <c r="G6" s="2487"/>
      <c r="H6" s="2487"/>
      <c r="I6" s="2487"/>
      <c r="J6" s="2487"/>
      <c r="K6" s="2487"/>
    </row>
    <row r="7" spans="1:11" ht="15.6">
      <c r="A7" s="2485" t="s">
        <v>795</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796</v>
      </c>
      <c r="B9" s="2489"/>
      <c r="C9" s="2486"/>
      <c r="D9" s="2486"/>
      <c r="E9" s="2486"/>
      <c r="F9" s="2487"/>
      <c r="G9" s="2487"/>
      <c r="H9" s="2487"/>
      <c r="I9" s="2487"/>
      <c r="J9" s="2487"/>
      <c r="K9" s="2487"/>
    </row>
    <row r="10" spans="1:11" ht="15.6">
      <c r="A10" s="2485" t="s">
        <v>797</v>
      </c>
      <c r="B10" s="2485">
        <f>IF(E10="",0,ROUND(B1*(E10*365/G10)/10000,0))</f>
        <v>0</v>
      </c>
      <c r="C10" s="2485" t="s">
        <v>798</v>
      </c>
      <c r="D10" s="2485" t="s">
        <v>797</v>
      </c>
      <c r="E10" s="2490"/>
      <c r="F10" s="2491" t="s">
        <v>799</v>
      </c>
      <c r="G10" s="2492"/>
      <c r="H10" s="2487"/>
      <c r="I10" s="2487"/>
      <c r="J10" s="2487"/>
      <c r="K10" s="2487"/>
    </row>
    <row r="11" spans="1:11" ht="15.6">
      <c r="A11" s="2485" t="s">
        <v>800</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801</v>
      </c>
      <c r="B13" s="2494" t="s">
        <v>786</v>
      </c>
      <c r="C13" s="2494" t="s">
        <v>787</v>
      </c>
      <c r="D13" s="2494" t="s">
        <v>802</v>
      </c>
      <c r="E13" s="2485" t="s">
        <v>791</v>
      </c>
      <c r="F13" s="2485" t="s">
        <v>792</v>
      </c>
      <c r="G13" s="2494" t="s">
        <v>803</v>
      </c>
      <c r="H13" s="2494" t="s">
        <v>804</v>
      </c>
      <c r="I13" s="2494" t="s">
        <v>805</v>
      </c>
      <c r="J13" s="2487"/>
      <c r="K13" s="2487"/>
    </row>
    <row r="14" spans="1:11" ht="15.6">
      <c r="A14" s="2495" t="s">
        <v>806</v>
      </c>
      <c r="B14" s="2496">
        <f>'数据-汇总表'!F19</f>
        <v>119.41</v>
      </c>
      <c r="C14" s="2496"/>
      <c r="D14" s="2496">
        <f ca="1">结果表!G19</f>
        <v>205</v>
      </c>
      <c r="E14" s="2496">
        <f ca="1">ROUND(D14*10000/B14,0)</f>
        <v>17168</v>
      </c>
      <c r="F14" s="2496" t="e">
        <f ca="1">ROUND(D14*10000/C14,0)</f>
        <v>#DIV/0!</v>
      </c>
      <c r="G14" s="2496">
        <f ca="1">D14</f>
        <v>205</v>
      </c>
      <c r="H14" s="2496"/>
      <c r="I14" s="2496"/>
      <c r="J14" s="2487"/>
      <c r="K14" s="2487"/>
    </row>
    <row r="15" spans="1:11" ht="15.6">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808</v>
      </c>
      <c r="B16" s="2497"/>
      <c r="C16" s="2497"/>
      <c r="D16" s="2497"/>
      <c r="E16" s="2496" t="e">
        <f t="shared" si="0"/>
        <v>#DIV/0!</v>
      </c>
      <c r="F16" s="2496" t="e">
        <f t="shared" si="1"/>
        <v>#DIV/0!</v>
      </c>
      <c r="G16" s="2489"/>
      <c r="H16" s="2489"/>
      <c r="I16" s="2497"/>
      <c r="J16" s="2487"/>
      <c r="K16" s="2487"/>
    </row>
    <row r="17" spans="1:11" ht="15.6">
      <c r="A17" s="2495" t="s">
        <v>809</v>
      </c>
      <c r="B17" s="2497"/>
      <c r="C17" s="2497"/>
      <c r="D17" s="2497"/>
      <c r="E17" s="2496" t="e">
        <f t="shared" si="0"/>
        <v>#DIV/0!</v>
      </c>
      <c r="F17" s="2496" t="e">
        <f t="shared" si="1"/>
        <v>#DIV/0!</v>
      </c>
      <c r="G17" s="2489"/>
      <c r="H17" s="2489"/>
      <c r="I17" s="2497"/>
      <c r="J17" s="2487"/>
      <c r="K17" s="2487"/>
    </row>
    <row r="18" spans="1:11" ht="15.6">
      <c r="A18" s="2495" t="s">
        <v>810</v>
      </c>
      <c r="B18" s="2497"/>
      <c r="C18" s="2497"/>
      <c r="D18" s="2497"/>
      <c r="E18" s="2496" t="e">
        <f t="shared" si="0"/>
        <v>#DIV/0!</v>
      </c>
      <c r="F18" s="2496" t="e">
        <f t="shared" si="1"/>
        <v>#DIV/0!</v>
      </c>
      <c r="G18" s="2497"/>
      <c r="H18" s="2497"/>
      <c r="I18" s="2497"/>
      <c r="J18" s="2487"/>
      <c r="K18" s="2487"/>
    </row>
    <row r="19" spans="1:11" ht="15.6">
      <c r="A19" s="2495" t="s">
        <v>811</v>
      </c>
      <c r="B19" s="2497"/>
      <c r="C19" s="2497"/>
      <c r="D19" s="2497"/>
      <c r="E19" s="2496" t="e">
        <f t="shared" si="0"/>
        <v>#DIV/0!</v>
      </c>
      <c r="F19" s="2496" t="e">
        <f t="shared" si="1"/>
        <v>#DIV/0!</v>
      </c>
      <c r="G19" s="2497"/>
      <c r="H19" s="2497"/>
      <c r="I19" s="2497"/>
      <c r="J19" s="2487"/>
      <c r="K19" s="2487"/>
    </row>
    <row r="20" spans="1:11" ht="15.6">
      <c r="A20" s="2495" t="s">
        <v>812</v>
      </c>
      <c r="B20" s="2497"/>
      <c r="C20" s="2497"/>
      <c r="D20" s="2497"/>
      <c r="E20" s="2496" t="e">
        <f t="shared" si="0"/>
        <v>#DIV/0!</v>
      </c>
      <c r="F20" s="2496" t="e">
        <f t="shared" si="1"/>
        <v>#DIV/0!</v>
      </c>
      <c r="G20" s="2497"/>
      <c r="H20" s="2497"/>
      <c r="I20" s="2497"/>
      <c r="J20" s="2487"/>
      <c r="K20" s="2487"/>
    </row>
    <row r="21" spans="1:11" ht="15.6">
      <c r="A21" s="2495" t="s">
        <v>813</v>
      </c>
      <c r="B21" s="2497"/>
      <c r="C21" s="2497"/>
      <c r="D21" s="2497"/>
      <c r="E21" s="2496" t="e">
        <f t="shared" si="0"/>
        <v>#DIV/0!</v>
      </c>
      <c r="F21" s="2496" t="e">
        <f t="shared" si="1"/>
        <v>#DIV/0!</v>
      </c>
      <c r="G21" s="2497"/>
      <c r="H21" s="2497"/>
      <c r="I21" s="2497"/>
      <c r="J21" s="2487"/>
      <c r="K21" s="2487"/>
    </row>
    <row r="22" spans="1:11" ht="15.6">
      <c r="A22" s="2495" t="s">
        <v>814</v>
      </c>
      <c r="B22" s="2497"/>
      <c r="C22" s="2497"/>
      <c r="D22" s="2497"/>
      <c r="E22" s="2496" t="e">
        <f t="shared" si="0"/>
        <v>#DIV/0!</v>
      </c>
      <c r="F22" s="2496" t="e">
        <f t="shared" si="1"/>
        <v>#DIV/0!</v>
      </c>
      <c r="G22" s="2497"/>
      <c r="H22" s="2497"/>
      <c r="I22" s="2497"/>
      <c r="J22" s="2487"/>
      <c r="K22" s="2487"/>
    </row>
    <row r="23" spans="1:11" ht="15.6">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0" zoomScaleNormal="100" zoomScalePageLayoutView="80" workbookViewId="0">
      <selection activeCell="D107" sqref="D107"/>
    </sheetView>
  </sheetViews>
  <sheetFormatPr defaultColWidth="12.6640625" defaultRowHeight="21.75" customHeight="1"/>
  <cols>
    <col min="1" max="2" width="12.6640625" style="2217"/>
    <col min="3" max="4" width="12.6640625" style="2217" customWidth="1"/>
    <col min="5" max="9" width="12.6640625" style="2217"/>
    <col min="10" max="11" width="12.6640625" style="898" customWidth="1"/>
    <col min="12" max="12" width="12.6640625" style="898"/>
    <col min="13" max="13" width="14.109375" style="898" customWidth="1"/>
    <col min="14" max="26" width="12.6640625" style="898"/>
    <col min="27" max="35" width="12.6640625" style="2218"/>
    <col min="36" max="16384" width="12.6640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3.2">
      <c r="A3" s="3264" t="s">
        <v>818</v>
      </c>
      <c r="B3" s="3265"/>
      <c r="C3" s="3265"/>
      <c r="D3" s="3265"/>
      <c r="E3" s="3265"/>
      <c r="F3" s="3265"/>
      <c r="G3" s="3265"/>
      <c r="H3" s="3265"/>
      <c r="I3" s="3265"/>
    </row>
    <row r="4" spans="1:12" ht="14.4">
      <c r="A4" s="2223" t="s">
        <v>819</v>
      </c>
      <c r="B4" s="2224" t="s">
        <v>820</v>
      </c>
      <c r="C4" s="2225" t="s">
        <v>2803</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11" t="s">
        <v>822</v>
      </c>
      <c r="B5" s="3349">
        <v>25</v>
      </c>
      <c r="C5" s="3281"/>
      <c r="D5" s="3280"/>
      <c r="E5" s="1888" t="s">
        <v>823</v>
      </c>
      <c r="F5" s="2229"/>
      <c r="G5" s="2229"/>
      <c r="H5" s="2229"/>
      <c r="I5" s="2109"/>
    </row>
    <row r="6" spans="1:12" ht="13.2">
      <c r="A6" s="3311"/>
      <c r="B6" s="3349"/>
      <c r="C6" s="3282"/>
      <c r="D6" s="3280"/>
      <c r="E6" s="1888" t="s">
        <v>824</v>
      </c>
      <c r="F6" s="2229"/>
      <c r="G6" s="2229"/>
      <c r="H6" s="2229"/>
      <c r="I6" s="2109"/>
    </row>
    <row r="7" spans="1:12" ht="13.2">
      <c r="A7" s="3311"/>
      <c r="B7" s="3349"/>
      <c r="C7" s="3283"/>
      <c r="D7" s="3280"/>
      <c r="E7" s="1888" t="s">
        <v>825</v>
      </c>
      <c r="F7" s="2229"/>
      <c r="G7" s="2229"/>
      <c r="H7" s="2229"/>
      <c r="I7" s="2109"/>
    </row>
    <row r="8" spans="1:12" ht="13.2">
      <c r="A8" s="3311" t="s">
        <v>826</v>
      </c>
      <c r="B8" s="3349">
        <v>15</v>
      </c>
      <c r="C8" s="3281"/>
      <c r="D8" s="3280"/>
      <c r="E8" s="1888" t="s">
        <v>827</v>
      </c>
      <c r="F8" s="2229"/>
      <c r="G8" s="2229"/>
      <c r="H8" s="2229"/>
      <c r="I8" s="2109"/>
    </row>
    <row r="9" spans="1:12" ht="13.2">
      <c r="A9" s="3311"/>
      <c r="B9" s="3349"/>
      <c r="C9" s="3283"/>
      <c r="D9" s="3280"/>
      <c r="E9" s="1888" t="s">
        <v>828</v>
      </c>
      <c r="F9" s="2229"/>
      <c r="G9" s="2229"/>
      <c r="H9" s="2229"/>
      <c r="I9" s="2109"/>
    </row>
    <row r="10" spans="1:12" ht="13.2">
      <c r="A10" s="3311" t="s">
        <v>829</v>
      </c>
      <c r="B10" s="3349">
        <v>15</v>
      </c>
      <c r="C10" s="3281"/>
      <c r="D10" s="3280"/>
      <c r="E10" s="1888" t="s">
        <v>830</v>
      </c>
      <c r="F10" s="2229"/>
      <c r="G10" s="2229"/>
      <c r="H10" s="2229"/>
      <c r="I10" s="2109"/>
    </row>
    <row r="11" spans="1:12" ht="13.2">
      <c r="A11" s="3311"/>
      <c r="B11" s="3349"/>
      <c r="C11" s="3283"/>
      <c r="D11" s="3280"/>
      <c r="E11" s="1888" t="s">
        <v>831</v>
      </c>
      <c r="F11" s="2229"/>
      <c r="G11" s="2229"/>
      <c r="H11" s="2229"/>
      <c r="I11" s="2109"/>
    </row>
    <row r="12" spans="1:12" ht="13.2">
      <c r="A12" s="3311" t="s">
        <v>832</v>
      </c>
      <c r="B12" s="3349">
        <v>15</v>
      </c>
      <c r="C12" s="3281"/>
      <c r="D12" s="3280"/>
      <c r="E12" s="1888" t="s">
        <v>833</v>
      </c>
      <c r="F12" s="2229"/>
      <c r="G12" s="2229"/>
      <c r="H12" s="2229"/>
      <c r="I12" s="2109"/>
    </row>
    <row r="13" spans="1:12" ht="13.2">
      <c r="A13" s="3311"/>
      <c r="B13" s="3349"/>
      <c r="C13" s="3283"/>
      <c r="D13" s="3280"/>
      <c r="E13" s="1888" t="s">
        <v>834</v>
      </c>
      <c r="F13" s="2229"/>
      <c r="G13" s="2229"/>
      <c r="H13" s="2229"/>
      <c r="I13" s="2109"/>
    </row>
    <row r="14" spans="1:12" ht="13.2">
      <c r="A14" s="3311" t="s">
        <v>835</v>
      </c>
      <c r="B14" s="3349">
        <v>30</v>
      </c>
      <c r="C14" s="3281">
        <v>7</v>
      </c>
      <c r="D14" s="3280">
        <v>3</v>
      </c>
      <c r="E14" s="1888" t="s">
        <v>836</v>
      </c>
      <c r="F14" s="2229"/>
      <c r="G14" s="2229"/>
      <c r="H14" s="2229"/>
      <c r="I14" s="2109"/>
    </row>
    <row r="15" spans="1:12" ht="13.2">
      <c r="A15" s="3311"/>
      <c r="B15" s="3349"/>
      <c r="C15" s="3282"/>
      <c r="D15" s="3280"/>
      <c r="E15" s="1888" t="s">
        <v>837</v>
      </c>
      <c r="F15" s="2229"/>
      <c r="G15" s="2229"/>
      <c r="H15" s="2229"/>
      <c r="I15" s="2109"/>
    </row>
    <row r="16" spans="1:12" ht="13.2">
      <c r="A16" s="3311"/>
      <c r="B16" s="3349"/>
      <c r="C16" s="3283"/>
      <c r="D16" s="3280"/>
      <c r="E16" s="1888" t="s">
        <v>838</v>
      </c>
      <c r="F16" s="2229"/>
      <c r="G16" s="2229"/>
      <c r="H16" s="2229"/>
      <c r="I16" s="2109"/>
    </row>
    <row r="17" spans="1:36" ht="14.4">
      <c r="A17" s="2230" t="s">
        <v>839</v>
      </c>
      <c r="B17" s="2231"/>
      <c r="C17" s="2232">
        <f>SUM(C5:C16)</f>
        <v>7</v>
      </c>
      <c r="D17" s="2232">
        <f>SUM(D5:D16)</f>
        <v>3</v>
      </c>
      <c r="E17" s="939"/>
      <c r="F17" s="939"/>
      <c r="G17" s="939"/>
      <c r="H17" s="939"/>
      <c r="I17" s="939"/>
      <c r="K17" s="1848"/>
      <c r="L17" s="1848" t="s">
        <v>840</v>
      </c>
      <c r="M17" s="1848" t="s">
        <v>841</v>
      </c>
    </row>
    <row r="18" spans="1:36" ht="31.95" customHeight="1">
      <c r="A18" s="2233" t="s">
        <v>842</v>
      </c>
      <c r="B18" s="2234"/>
      <c r="C18" s="2235">
        <f>ROUND(C17/SUM(C17:D17),2)</f>
        <v>0.7</v>
      </c>
      <c r="D18" s="2235">
        <f>1-C18</f>
        <v>0.30000000000000004</v>
      </c>
      <c r="E18" s="3269" t="s">
        <v>843</v>
      </c>
      <c r="F18" s="3270"/>
      <c r="G18" s="3270"/>
      <c r="H18" s="3270"/>
      <c r="I18" s="3270"/>
      <c r="K18" s="1848" t="s">
        <v>504</v>
      </c>
      <c r="L18" s="1848">
        <f>IF(C1="",'数据-汇总表'!E3,SUMIF(项目类型,C1,'数据-汇总表'!E17:E26)+SUMIF(项目类型,C1,'数据-汇总表'!I17:I26))</f>
        <v>119.41</v>
      </c>
      <c r="M18" s="1848">
        <f>IF(C1="",'数据-汇总表'!E3,SUMIF(项目类型,C1,'数据-汇总表'!E17:E26))</f>
        <v>119.41</v>
      </c>
    </row>
    <row r="19" spans="1:36" ht="14.4">
      <c r="A19" s="1230" t="s">
        <v>844</v>
      </c>
      <c r="B19" s="2236" t="s">
        <v>845</v>
      </c>
      <c r="C19" s="2237">
        <f ca="1">SUMIF(INDIRECT("'"&amp;C4&amp;"'"&amp;"!A:A"),结果表!B19,INDIRECT("'"&amp;C4&amp;"'"&amp;"!B:B"))</f>
        <v>242.53370000000001</v>
      </c>
      <c r="D19" s="1348">
        <f ca="1">SUMIF(INDIRECT("'"&amp;D4&amp;"'"&amp;"!A:A"),结果表!B19,INDIRECT("'"&amp;D4&amp;"'"&amp;"!B:B"))</f>
        <v>115.8048</v>
      </c>
      <c r="E19" s="1230" t="s">
        <v>846</v>
      </c>
      <c r="F19" s="2236" t="s">
        <v>845</v>
      </c>
      <c r="G19" s="2238">
        <f ca="1">ROUND(C19*$C$18+D19*$D$18,0)</f>
        <v>205</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4.4">
      <c r="A20" s="2240"/>
      <c r="B20" s="2241" t="s">
        <v>848</v>
      </c>
      <c r="C20" s="1592">
        <f ca="1">SUMIF(INDIRECT("'"&amp;C4&amp;"'"&amp;"!A:A"),结果表!B20,INDIRECT("'"&amp;C4&amp;"'"&amp;"!B:B"))</f>
        <v>20311</v>
      </c>
      <c r="D20" s="1595">
        <f ca="1">SUMIF(INDIRECT("'"&amp;D4&amp;"'"&amp;"!A:A"),结果表!B20,INDIRECT("'"&amp;D4&amp;"'"&amp;"!B:B"))</f>
        <v>9698</v>
      </c>
      <c r="E20" s="2240"/>
      <c r="F20" s="2241" t="s">
        <v>848</v>
      </c>
      <c r="G20" s="2242">
        <f ca="1">ROUND(C20*$C$18+D20*$D$18,0)</f>
        <v>17127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4">
      <c r="A22" s="2248" t="s">
        <v>851</v>
      </c>
      <c r="B22" s="2249"/>
      <c r="C22" s="2250"/>
      <c r="D22" s="2251">
        <f ca="1">IF(C19&lt;D19,D19/C19-1,C19/D19-1)</f>
        <v>1.0943320138716186</v>
      </c>
      <c r="E22" s="939"/>
      <c r="F22" s="939"/>
      <c r="G22" s="939"/>
      <c r="H22" s="939"/>
      <c r="I22" s="939"/>
    </row>
    <row r="23" spans="1:36" ht="13.2">
      <c r="A23" s="1991"/>
      <c r="B23" s="1991"/>
      <c r="C23" s="1991"/>
      <c r="D23" s="1991"/>
      <c r="E23" s="939"/>
      <c r="F23" s="939"/>
      <c r="G23" s="939"/>
      <c r="H23" s="939"/>
      <c r="I23" s="939"/>
    </row>
    <row r="24" spans="1:36" ht="14.4">
      <c r="A24" s="3342" t="s">
        <v>852</v>
      </c>
      <c r="B24" s="2236" t="s">
        <v>845</v>
      </c>
      <c r="C24" s="2238">
        <f>IF(B30=0,0,D30)</f>
        <v>0</v>
      </c>
      <c r="D24" s="2252"/>
      <c r="E24" s="939"/>
      <c r="F24" s="939"/>
      <c r="G24" s="939"/>
      <c r="H24" s="939"/>
      <c r="I24" s="939"/>
    </row>
    <row r="25" spans="1:36" ht="14.4">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20149.411764705881</v>
      </c>
      <c r="H26" s="939"/>
      <c r="I26" s="939"/>
    </row>
    <row r="27" spans="1:36" ht="13.8">
      <c r="A27" s="2255"/>
      <c r="B27" s="2256">
        <v>0</v>
      </c>
      <c r="C27" s="2256">
        <v>0</v>
      </c>
      <c r="D27" s="2257">
        <f>ROUND(C27*B27/10000,0)</f>
        <v>0</v>
      </c>
      <c r="E27" s="939"/>
      <c r="F27" s="939"/>
      <c r="G27" s="939">
        <f>25000/0.85</f>
        <v>29411.764705882353</v>
      </c>
      <c r="H27" s="939"/>
      <c r="I27" s="939"/>
    </row>
    <row r="28" spans="1:36" ht="13.8">
      <c r="A28" s="2255"/>
      <c r="B28" s="2256"/>
      <c r="C28" s="2256"/>
      <c r="D28" s="2257"/>
      <c r="E28" s="939"/>
      <c r="F28" s="939"/>
      <c r="G28" s="939"/>
      <c r="H28" s="939"/>
      <c r="I28" s="939"/>
    </row>
    <row r="29" spans="1:36" ht="13.8">
      <c r="A29" s="2255"/>
      <c r="B29" s="2256"/>
      <c r="C29" s="2256"/>
      <c r="D29" s="2257"/>
      <c r="E29" s="939"/>
      <c r="F29" s="939"/>
      <c r="G29" s="939"/>
      <c r="H29" s="939"/>
      <c r="I29" s="939"/>
    </row>
    <row r="30" spans="1:36" ht="14.4">
      <c r="A30" s="2256" t="s">
        <v>857</v>
      </c>
      <c r="B30" s="2256"/>
      <c r="C30" s="2256"/>
      <c r="D30" s="2256"/>
      <c r="E30" s="2258" t="s">
        <v>858</v>
      </c>
      <c r="F30" s="939"/>
      <c r="G30" s="939"/>
      <c r="H30" s="939"/>
      <c r="I30" s="939"/>
    </row>
    <row r="31" spans="1:36" s="2216" customFormat="1" ht="26.4"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1" t="s">
        <v>860</v>
      </c>
      <c r="B32" s="2262"/>
      <c r="C32" s="2263">
        <f ca="1">IF(D32="总价",G19-C24,G20-C25)</f>
        <v>17127</v>
      </c>
      <c r="D32" s="2264" t="s">
        <v>2780</v>
      </c>
      <c r="E32" s="939"/>
      <c r="F32" s="939"/>
      <c r="G32" s="939"/>
      <c r="H32" s="939"/>
      <c r="I32" s="939"/>
    </row>
    <row r="33" spans="1:15" ht="14.4">
      <c r="A33" s="2130" t="s">
        <v>861</v>
      </c>
      <c r="B33" s="1888"/>
      <c r="C33" s="2265"/>
      <c r="D33" s="2266"/>
      <c r="E33" s="2267" t="s">
        <v>862</v>
      </c>
      <c r="F33" s="2268" t="str">
        <f>IF(D32="楼面单价","取值（单价）","取值（总价）")</f>
        <v>取值（单价）</v>
      </c>
      <c r="G33" s="939"/>
      <c r="H33" s="939"/>
      <c r="I33" s="939"/>
    </row>
    <row r="34" spans="1:15" ht="14.4">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4.4">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4.4">
      <c r="A36" s="3344" t="s">
        <v>867</v>
      </c>
      <c r="B36" s="2281" t="s">
        <v>868</v>
      </c>
      <c r="C36" s="2282"/>
      <c r="D36" s="2283"/>
      <c r="E36" s="2284"/>
      <c r="F36" s="2285"/>
      <c r="G36" s="939"/>
      <c r="H36" s="939"/>
      <c r="I36" s="939"/>
    </row>
    <row r="37" spans="1:15" ht="14.4">
      <c r="A37" s="3345"/>
      <c r="B37" s="2286" t="s">
        <v>869</v>
      </c>
      <c r="C37" s="2287"/>
      <c r="D37" s="2288"/>
      <c r="E37" s="2288"/>
      <c r="F37" s="2285"/>
      <c r="G37" s="939"/>
      <c r="H37" s="939"/>
      <c r="I37" s="939"/>
    </row>
    <row r="38" spans="1:15" ht="14.4">
      <c r="A38" s="3346"/>
      <c r="B38" s="2289" t="s">
        <v>870</v>
      </c>
      <c r="C38" s="2290"/>
      <c r="D38" s="2291" t="s">
        <v>871</v>
      </c>
      <c r="E38" s="2288"/>
      <c r="F38" s="2285"/>
      <c r="G38" s="939"/>
      <c r="H38" s="939"/>
      <c r="I38" s="939"/>
    </row>
    <row r="39" spans="1:15" ht="14.4">
      <c r="A39" s="2240" t="s">
        <v>872</v>
      </c>
      <c r="B39" s="2292" t="s">
        <v>854</v>
      </c>
      <c r="C39" s="2293" t="s">
        <v>855</v>
      </c>
      <c r="D39" s="2293" t="s">
        <v>873</v>
      </c>
      <c r="E39" s="2294" t="s">
        <v>856</v>
      </c>
      <c r="F39" s="2285"/>
      <c r="G39" s="939"/>
      <c r="H39" s="939"/>
      <c r="I39" s="939"/>
    </row>
    <row r="40" spans="1:15" ht="13.8">
      <c r="A40" s="2295" t="s">
        <v>874</v>
      </c>
      <c r="B40" s="2296"/>
      <c r="C40" s="957"/>
      <c r="D40" s="957"/>
      <c r="E40" s="2297"/>
      <c r="F40" s="2285"/>
      <c r="G40" s="939"/>
      <c r="H40" s="939"/>
      <c r="I40" s="939"/>
    </row>
    <row r="41" spans="1:15" ht="13.8">
      <c r="A41" s="2295" t="s">
        <v>875</v>
      </c>
      <c r="B41" s="2296"/>
      <c r="C41" s="957"/>
      <c r="D41" s="957"/>
      <c r="E41" s="2297"/>
      <c r="F41" s="2285"/>
      <c r="G41" s="939"/>
      <c r="H41" s="939"/>
      <c r="I41" s="939"/>
    </row>
    <row r="42" spans="1:15" ht="13.8">
      <c r="A42" s="2298"/>
      <c r="B42" s="2299"/>
      <c r="C42" s="2300"/>
      <c r="D42" s="2300"/>
      <c r="E42" s="2280"/>
      <c r="F42" s="2285"/>
      <c r="G42" s="939"/>
      <c r="H42" s="939"/>
      <c r="I42" s="939"/>
    </row>
    <row r="43" spans="1:15" ht="13.2">
      <c r="A43" s="2301"/>
      <c r="B43" s="2301"/>
      <c r="C43" s="2301"/>
      <c r="D43" s="2301"/>
      <c r="E43" s="2301"/>
      <c r="F43" s="2302"/>
      <c r="G43" s="2302"/>
      <c r="H43" s="2302"/>
      <c r="I43" s="2354"/>
    </row>
    <row r="44" spans="1:15" ht="17.399999999999999">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205</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45958</v>
      </c>
      <c r="N47" s="3284"/>
      <c r="O47" s="3284"/>
    </row>
    <row r="48" spans="1:15" ht="26.4">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8" t="s">
        <v>892</v>
      </c>
      <c r="L48" s="3278"/>
      <c r="M48" s="3287">
        <f ca="1">H101</f>
        <v>205</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205</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399999999999999"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11</v>
      </c>
      <c r="E52" s="1901" t="s">
        <v>909</v>
      </c>
      <c r="F52" s="2328">
        <f>'数据-取费表'!B41</f>
        <v>5.6000000000000001E-2</v>
      </c>
      <c r="G52" s="2329"/>
      <c r="H52" s="2012"/>
      <c r="I52" s="2357"/>
      <c r="J52" s="580">
        <v>1</v>
      </c>
      <c r="K52" s="3290" t="s">
        <v>910</v>
      </c>
      <c r="L52" s="3290"/>
      <c r="M52" s="2358" t="b">
        <f>D48</f>
        <v>0</v>
      </c>
      <c r="N52" s="580" t="str">
        <f>E48</f>
        <v>销售额×税（费）率</v>
      </c>
      <c r="O52" s="2359">
        <f>F48</f>
        <v>5.6000000000000001E-2</v>
      </c>
    </row>
    <row r="53" spans="1:35" ht="12" customHeight="1">
      <c r="A53" s="2327" t="s">
        <v>911</v>
      </c>
      <c r="B53" s="3291" t="s">
        <v>912</v>
      </c>
      <c r="C53" s="3292"/>
      <c r="D53" s="1897">
        <f ca="1">ROUND(D45*'数据-取费表'!B41/(1+'数据-取费表'!C42),0)</f>
        <v>11</v>
      </c>
      <c r="E53" s="1901" t="s">
        <v>909</v>
      </c>
      <c r="F53" s="2328">
        <f>'数据-取费表'!B41</f>
        <v>5.6000000000000001E-2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11</v>
      </c>
      <c r="E54" s="1911" t="s">
        <v>916</v>
      </c>
      <c r="F54" s="2328">
        <f>'数据-取费表'!B41</f>
        <v>5.6000000000000001E-2</v>
      </c>
      <c r="G54" s="2329"/>
      <c r="H54" s="2330"/>
      <c r="I54" s="2357"/>
      <c r="J54" s="580">
        <v>3</v>
      </c>
      <c r="K54" s="3290" t="s">
        <v>917</v>
      </c>
      <c r="L54" s="3290"/>
      <c r="M54" s="2358">
        <f t="shared" ca="1" si="0"/>
        <v>116</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2</v>
      </c>
      <c r="N55" s="561" t="str">
        <f>E59</f>
        <v>差额计税</v>
      </c>
      <c r="O55" s="2363">
        <f>F59</f>
        <v>0.01</v>
      </c>
    </row>
    <row r="56" spans="1:35" ht="25.2">
      <c r="A56" s="3293" t="s">
        <v>920</v>
      </c>
      <c r="B56" s="3286"/>
      <c r="C56" s="3286"/>
      <c r="D56" s="1998">
        <f ca="1">IF(H56="个人住宅",D57,D58)</f>
        <v>116</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3.2">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118</v>
      </c>
      <c r="O57" s="2367"/>
      <c r="P57" s="2368">
        <f ca="1">N57/M49</f>
        <v>0.57560975609756093</v>
      </c>
    </row>
    <row r="58" spans="1:35" ht="25.2">
      <c r="A58" s="2327" t="s">
        <v>907</v>
      </c>
      <c r="B58" s="3291" t="s">
        <v>926</v>
      </c>
      <c r="C58" s="3288"/>
      <c r="D58" s="1998">
        <f ca="1">IF(H58="转让取得",C81,C97)</f>
        <v>116</v>
      </c>
      <c r="E58" s="1901" t="s">
        <v>921</v>
      </c>
      <c r="F58" s="1848" t="s">
        <v>124</v>
      </c>
      <c r="G58" s="2329"/>
      <c r="H58" s="2332"/>
      <c r="I58" s="2341"/>
      <c r="J58" s="3290"/>
      <c r="K58" s="3290"/>
      <c r="L58" s="2364" t="s">
        <v>927</v>
      </c>
      <c r="M58" s="2369"/>
      <c r="N58" s="2370" t="str">
        <f ca="1">NUMBERSTRING(INT(N57*10000),2)&amp;"元整"</f>
        <v>壹佰壹拾捌万元整</v>
      </c>
      <c r="O58" s="2371"/>
    </row>
    <row r="59" spans="1:35" ht="24">
      <c r="A59" s="3300" t="s">
        <v>928</v>
      </c>
      <c r="B59" s="3301"/>
      <c r="C59" s="3301"/>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87</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捌拾柒万元整</v>
      </c>
      <c r="O60" s="2371"/>
    </row>
    <row r="61" spans="1:35" ht="13.2">
      <c r="A61" s="3302" t="s">
        <v>931</v>
      </c>
      <c r="B61" s="3302"/>
      <c r="C61" s="3302"/>
      <c r="D61" s="3302"/>
      <c r="E61" s="3302"/>
      <c r="F61" s="2341"/>
      <c r="G61" s="2341"/>
      <c r="H61" s="940"/>
      <c r="I61" s="939"/>
      <c r="J61" s="580">
        <f>J59+1</f>
        <v>7</v>
      </c>
      <c r="K61" s="3290" t="s">
        <v>932</v>
      </c>
      <c r="L61" s="3290"/>
      <c r="M61" s="2376"/>
      <c r="N61" s="2377">
        <f ca="1">ROUND(N59*10000/'数据-汇总表'!E3,0)</f>
        <v>7286</v>
      </c>
      <c r="O61" s="2378"/>
    </row>
    <row r="62" spans="1:35" ht="13.2">
      <c r="A62" s="3303" t="s">
        <v>933</v>
      </c>
      <c r="B62" s="3304"/>
      <c r="C62" s="532"/>
      <c r="D62" s="532" t="s">
        <v>934</v>
      </c>
      <c r="E62" s="2342" t="s">
        <v>888</v>
      </c>
      <c r="F62" s="2341"/>
      <c r="G62" s="2341"/>
      <c r="H62" s="940"/>
      <c r="I62" s="939"/>
    </row>
    <row r="63" spans="1:35" ht="13.2">
      <c r="A63" s="2343" t="s">
        <v>935</v>
      </c>
      <c r="B63" s="590" t="s">
        <v>936</v>
      </c>
      <c r="C63" s="2344">
        <f ca="1">ROUND((C64+C65)/(1+'数据-取费表'!C42),0)</f>
        <v>195</v>
      </c>
      <c r="D63" s="590"/>
      <c r="E63" s="2345"/>
      <c r="F63" s="2341"/>
      <c r="G63" s="2341"/>
      <c r="H63" s="940"/>
      <c r="I63" s="939"/>
      <c r="J63" s="3289" t="s">
        <v>937</v>
      </c>
      <c r="K63" s="2379" t="s">
        <v>938</v>
      </c>
      <c r="L63" s="2379">
        <f ca="1">IF(M49&gt;10000,M49*0.5%,IF(AND(M49&gt;1000,M49&lt;=10000),M49*1%,IF(AND(M49&gt;100,M49&lt;=1000),M49*3%,IF(AND(M49&gt;10,M49&lt;=100),M49*5%,M49*8%))))</f>
        <v>6.1499999999999995</v>
      </c>
      <c r="M63" s="1848">
        <f ca="1">ROUND(L63,1)</f>
        <v>6.2</v>
      </c>
      <c r="N63" s="2380"/>
      <c r="Z63" s="2218"/>
      <c r="AI63" s="2217"/>
    </row>
    <row r="64" spans="1:35" ht="14.25" customHeight="1">
      <c r="A64" s="2346" t="s">
        <v>939</v>
      </c>
      <c r="B64" s="513" t="s">
        <v>940</v>
      </c>
      <c r="C64" s="2347">
        <f ca="1">D45</f>
        <v>205</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1.6400000000000001</v>
      </c>
      <c r="M64" s="1848">
        <f t="shared" ref="M64:M65" ca="1" si="1">ROUND(L64,1)</f>
        <v>1.6</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2.0499999999999998</v>
      </c>
      <c r="M65" s="1848">
        <f t="shared" ca="1" si="1"/>
        <v>2.1</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1.0249999999999999</v>
      </c>
      <c r="M66" s="1848">
        <f ca="1">IF(L66&gt;0.5,0.5,ROUND(L66,0))</f>
        <v>0.5</v>
      </c>
      <c r="N66" s="2012" t="s">
        <v>950</v>
      </c>
      <c r="Z66" s="2218"/>
      <c r="AI66" s="2217"/>
    </row>
    <row r="67" spans="1:35" ht="14.25" customHeight="1">
      <c r="A67" s="2343" t="s">
        <v>951</v>
      </c>
      <c r="B67" s="2383" t="s">
        <v>952</v>
      </c>
      <c r="C67" s="2386">
        <f ca="1">C63-C66</f>
        <v>195</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0.76249999999999996</v>
      </c>
      <c r="M67" s="1848">
        <f ca="1">ROUND(L67*0.9,1)</f>
        <v>0.7</v>
      </c>
      <c r="N67" s="2380"/>
      <c r="Z67" s="2218"/>
      <c r="AI67" s="2217"/>
    </row>
    <row r="68" spans="1:35" ht="14.25" customHeight="1">
      <c r="A68" s="2387" t="s">
        <v>954</v>
      </c>
      <c r="B68" s="2388" t="s">
        <v>955</v>
      </c>
      <c r="C68" s="2389">
        <f ca="1">IF(C67&lt;=0,0,ROUND(C67*D68,0))</f>
        <v>11</v>
      </c>
      <c r="D68" s="775">
        <f>'数据-取费表'!B41</f>
        <v>5.6000000000000001E-2</v>
      </c>
      <c r="E68" s="2390"/>
      <c r="F68" s="2341"/>
      <c r="G68" s="2341"/>
      <c r="H68" s="940"/>
      <c r="I68" s="939"/>
      <c r="J68" s="3289"/>
      <c r="K68" s="2379" t="s">
        <v>956</v>
      </c>
      <c r="L68" s="2379">
        <f ca="1">IF(M49&gt;10000,M49*0.5%,IF(AND(M49&gt;5000,M49&lt;=10000),M49*1%,IF(AND(M49&gt;1000,M49&lt;=5000),M49*2%,IF(AND(M49&gt;200,M49&lt;=1000),M49*3%,M49*5%))))</f>
        <v>6.1499999999999995</v>
      </c>
      <c r="M68" s="1848">
        <f ca="1">ROUND(L68,1)</f>
        <v>6.2</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17</v>
      </c>
      <c r="N69" s="2454">
        <f ca="1">M69/M49</f>
        <v>8.2926829268292687E-2</v>
      </c>
      <c r="Z69" s="2218"/>
      <c r="AI69" s="2217"/>
    </row>
    <row r="70" spans="1:35" s="880" customFormat="1" ht="13.8">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3.8">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3.8">
      <c r="A72" s="2343" t="s">
        <v>935</v>
      </c>
      <c r="B72" s="2383" t="s">
        <v>959</v>
      </c>
      <c r="C72" s="2386">
        <f ca="1">ROUND(D45/(1+'数据-取费表'!C42),0)</f>
        <v>195</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3.8">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28.8">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3.8">
      <c r="A79" s="2343" t="s">
        <v>951</v>
      </c>
      <c r="B79" s="2383" t="s">
        <v>974</v>
      </c>
      <c r="C79" s="2386">
        <f ca="1">C72-C73</f>
        <v>194</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194</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116</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3.8">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3.8">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3.8">
      <c r="A85" s="2343" t="s">
        <v>935</v>
      </c>
      <c r="B85" s="2383" t="s">
        <v>959</v>
      </c>
      <c r="C85" s="2386">
        <f ca="1">ROUND(D45/(1+'数据-取费表'!C42),0)</f>
        <v>195</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3.8">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3.8">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4">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3.8">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4">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3.8">
      <c r="A95" s="2343" t="s">
        <v>951</v>
      </c>
      <c r="B95" s="2383" t="s">
        <v>974</v>
      </c>
      <c r="C95" s="2386">
        <f ca="1">ROUND(C85-C86,0)</f>
        <v>194</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194</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116</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205</v>
      </c>
      <c r="I101" s="939"/>
    </row>
    <row r="102" spans="1:35" ht="18.75" customHeight="1">
      <c r="A102" s="3347" t="s">
        <v>1005</v>
      </c>
      <c r="B102" s="2436" t="s">
        <v>1004</v>
      </c>
      <c r="C102" s="2431">
        <f ca="1">IF(D32="楼面单价",ROUND(C19,0),C19)</f>
        <v>243</v>
      </c>
      <c r="D102" s="2432">
        <f ca="1">IF(D32="楼面单价",ROUND(D19,0),D19)</f>
        <v>116</v>
      </c>
      <c r="E102" s="3338"/>
      <c r="F102" s="3334"/>
      <c r="G102" s="2434" t="s">
        <v>99</v>
      </c>
      <c r="H102" s="2329">
        <f ca="1">I118</f>
        <v>17127</v>
      </c>
      <c r="I102" s="939"/>
    </row>
    <row r="103" spans="1:35" ht="42.75" customHeight="1">
      <c r="A103" s="3347"/>
      <c r="B103" s="2436" t="s">
        <v>99</v>
      </c>
      <c r="C103" s="2437">
        <f ca="1">C20</f>
        <v>20311</v>
      </c>
      <c r="D103" s="2438">
        <f ca="1">D20</f>
        <v>9698</v>
      </c>
      <c r="E103" s="3318" t="s">
        <v>1006</v>
      </c>
      <c r="F103" s="3319"/>
      <c r="G103" s="2439" t="s">
        <v>102</v>
      </c>
      <c r="H103" s="2435">
        <f>IF(D36="正常操作",H104+H105+H106,H105+H106)</f>
        <v>0</v>
      </c>
      <c r="I103" s="939"/>
    </row>
    <row r="104" spans="1:35" ht="18.75" customHeight="1">
      <c r="A104" s="3347" t="s">
        <v>1007</v>
      </c>
      <c r="B104" s="2440" t="s">
        <v>1004</v>
      </c>
      <c r="C104" s="2441">
        <f ca="1">H118</f>
        <v>205</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17127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2045135.0699999998</v>
      </c>
      <c r="E107" s="3333" t="str">
        <f>IF(项目基本情况!E8="已注销","——","3.房地产抵押价值")</f>
        <v>3.房地产抵押价值</v>
      </c>
      <c r="F107" s="3334"/>
      <c r="G107" s="2434" t="s">
        <v>1004</v>
      </c>
      <c r="H107" s="2435">
        <f ca="1">IF(E107="——","——",H101-H103)</f>
        <v>205</v>
      </c>
      <c r="I107" s="939"/>
    </row>
    <row r="108" spans="1:35" ht="18.75" customHeight="1">
      <c r="A108" s="939"/>
      <c r="B108" s="939"/>
      <c r="C108" s="939"/>
      <c r="D108" s="939"/>
      <c r="E108" s="3333"/>
      <c r="F108" s="3334"/>
      <c r="G108" s="2434" t="s">
        <v>99</v>
      </c>
      <c r="H108" s="2329">
        <f ca="1">IF(H107=H101,H102,ROUND(H107*10000/'数据-汇总表'!E3,0))</f>
        <v>17127</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119.41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205</v>
      </c>
      <c r="I118" s="872">
        <f ca="1">ROUND(IF(D32="楼面单价",C32,H118*10000/B118),0)</f>
        <v>17127</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贰佰零伍万元整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205</v>
      </c>
      <c r="E122" s="3309"/>
      <c r="F122" s="3309"/>
      <c r="G122" s="3309"/>
      <c r="H122" s="3309"/>
      <c r="I122" s="3310"/>
      <c r="AA122" s="898"/>
    </row>
    <row r="123" spans="1:27" ht="18.75" customHeight="1">
      <c r="A123" s="3311" t="s">
        <v>1020</v>
      </c>
      <c r="B123" s="3311"/>
      <c r="C123" s="3311"/>
      <c r="D123" s="3312" t="str">
        <f ca="1">NUMBERSTRING(INT(D122*10000),2)&amp;"元整"</f>
        <v>贰佰零伍万元整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1028</v>
      </c>
      <c r="B1" s="2204"/>
      <c r="C1" s="341"/>
      <c r="D1" s="341"/>
      <c r="E1" s="341"/>
      <c r="F1" s="341"/>
      <c r="G1" s="2206">
        <f>MATCH(B1,'数据-取费表'!A6:A16,0)+5</f>
        <v>7</v>
      </c>
    </row>
    <row r="2" spans="1:9" s="331" customFormat="1" ht="18" customHeight="1">
      <c r="A2" s="343" t="s">
        <v>1029</v>
      </c>
      <c r="B2" s="344">
        <f ca="1">IF(D2="——",C52,C52-E2)</f>
        <v>32383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2711917</v>
      </c>
      <c r="C3" s="342" t="s">
        <v>1032</v>
      </c>
      <c r="D3" s="342"/>
      <c r="E3" s="342"/>
      <c r="F3" s="342"/>
      <c r="G3" s="342"/>
    </row>
    <row r="4" spans="1:9" s="332" customFormat="1" ht="16.2">
      <c r="A4" s="348" t="s">
        <v>1033</v>
      </c>
      <c r="B4" s="349"/>
      <c r="C4" s="349"/>
      <c r="D4" s="349"/>
      <c r="E4" s="349"/>
      <c r="F4" s="349"/>
      <c r="G4" s="350"/>
    </row>
    <row r="5" spans="1:9" s="333" customFormat="1" ht="13.5" customHeight="1">
      <c r="A5" s="351" t="s">
        <v>1034</v>
      </c>
      <c r="B5" s="352" t="s">
        <v>1035</v>
      </c>
      <c r="C5" s="353">
        <f>C6+C7+C8</f>
        <v>23882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23882</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119.41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119.41</v>
      </c>
      <c r="E19" s="353">
        <f>'数据-取费表'!B31</f>
        <v>200</v>
      </c>
      <c r="F19" s="375"/>
      <c r="G19" s="2212"/>
    </row>
    <row r="20" spans="1:7" s="333" customFormat="1" ht="13.5" customHeight="1">
      <c r="A20" s="351" t="s">
        <v>1067</v>
      </c>
      <c r="B20" s="352" t="s">
        <v>1068</v>
      </c>
      <c r="C20" s="376">
        <f ca="1">ROUND((C5+C19)*F20,0)</f>
        <v>717</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1540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1518</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6.4">
      <c r="A27" s="351" t="s">
        <v>1084</v>
      </c>
      <c r="B27" s="392" t="s">
        <v>1085</v>
      </c>
      <c r="C27" s="393">
        <f ca="1">C28</f>
        <v>3690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3690</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32316</v>
      </c>
      <c r="D31" s="399"/>
      <c r="E31" s="353"/>
      <c r="F31" s="400"/>
      <c r="G31" s="381" t="s">
        <v>1093</v>
      </c>
    </row>
    <row r="32" spans="1:7" s="332" customFormat="1" ht="16.2">
      <c r="A32" s="401" t="s">
        <v>1094</v>
      </c>
      <c r="B32" s="402"/>
      <c r="C32" s="402"/>
      <c r="D32" s="402"/>
      <c r="E32" s="402"/>
      <c r="F32" s="402"/>
      <c r="G32" s="403"/>
    </row>
    <row r="33" spans="1:7" s="333" customFormat="1" ht="13.5" customHeight="1">
      <c r="A33" s="351" t="s">
        <v>1034</v>
      </c>
      <c r="B33" s="352" t="s">
        <v>1095</v>
      </c>
      <c r="C33" s="404">
        <f ca="1">SUM(C34:C38)</f>
        <v>60</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54</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119.41</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9</v>
      </c>
      <c r="D45" s="379">
        <f ca="1">C47</f>
        <v>3.0000000000000001E-3</v>
      </c>
      <c r="E45" s="380" t="s">
        <v>1106</v>
      </c>
      <c r="F45" s="394">
        <f ca="1">F27</f>
        <v>0.15</v>
      </c>
      <c r="G45" s="395" t="s">
        <v>1109</v>
      </c>
    </row>
    <row r="46" spans="1:7" s="333" customFormat="1" ht="13.5" customHeight="1">
      <c r="A46" s="384" t="s">
        <v>1038</v>
      </c>
      <c r="B46" s="396" t="s">
        <v>1110</v>
      </c>
      <c r="C46" s="397">
        <f ca="1">ROUND((C33+C39)*F27,0)</f>
        <v>9</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79</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67</v>
      </c>
      <c r="D51" s="376"/>
      <c r="E51" s="376"/>
      <c r="F51" s="411"/>
      <c r="G51" s="381" t="s">
        <v>1120</v>
      </c>
    </row>
    <row r="52" spans="1:7" s="332" customFormat="1" ht="16.2">
      <c r="A52" s="412" t="s">
        <v>1121</v>
      </c>
      <c r="B52" s="413"/>
      <c r="C52" s="414">
        <f ca="1">C31+C51</f>
        <v>32383</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28" sqref="I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6.2">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23882</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23882</v>
      </c>
      <c r="D10" s="369">
        <f ca="1">IF(B1="",'数据-汇总表'!E6,IF(INDIRECT("'数据-取费表'!c"&amp;$G$1)="住宅",INDIRECT("'数据-取费表'!s"&amp;$G$1),INDIRECT("'数据-取费表'!k"&amp;$G$1)+INDIRECT("'数据-取费表'!s"&amp;$G$1)))</f>
        <v>119.41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119.41</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6.4">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6.2">
      <c r="A32" s="401" t="s">
        <v>1126</v>
      </c>
      <c r="B32" s="402"/>
      <c r="C32" s="402"/>
      <c r="D32" s="402"/>
      <c r="E32" s="402"/>
      <c r="F32" s="402"/>
      <c r="G32" s="403"/>
    </row>
    <row r="33" spans="1:7" s="333" customFormat="1" ht="13.5" customHeight="1">
      <c r="A33" s="351" t="s">
        <v>1034</v>
      </c>
      <c r="B33" s="352" t="s">
        <v>1127</v>
      </c>
      <c r="C33" s="404">
        <f ca="1">SUM(C34:C38)</f>
        <v>598841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537345</v>
      </c>
      <c r="D34" s="359"/>
      <c r="E34" s="362"/>
      <c r="F34" s="405"/>
      <c r="G34" s="361"/>
    </row>
    <row r="35" spans="1:7" ht="13.5" customHeight="1">
      <c r="A35" s="384" t="s">
        <v>1040</v>
      </c>
      <c r="B35" s="357" t="s">
        <v>1098</v>
      </c>
      <c r="C35" s="362">
        <f ca="1">ROUND(C34*F35,0)</f>
        <v>26867</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23882</v>
      </c>
      <c r="D37" s="359">
        <f ca="1">D19</f>
        <v>119.41</v>
      </c>
      <c r="E37" s="397">
        <f>'数据-取费表'!B35</f>
        <v>200</v>
      </c>
      <c r="F37" s="406"/>
      <c r="G37" s="408"/>
    </row>
    <row r="38" spans="1:7" ht="13.5" customHeight="1">
      <c r="A38" s="384" t="s">
        <v>1104</v>
      </c>
      <c r="B38" s="357" t="s">
        <v>970</v>
      </c>
      <c r="C38" s="362">
        <f ca="1">ROUND(C34*F38,0)</f>
        <v>10747</v>
      </c>
      <c r="D38" s="362"/>
      <c r="E38" s="362"/>
      <c r="F38" s="406">
        <f>'数据-取费表'!B36</f>
        <v>0.02</v>
      </c>
      <c r="G38" s="361" t="s">
        <v>1099</v>
      </c>
    </row>
    <row r="39" spans="1:7" s="333" customFormat="1" ht="13.5" customHeight="1">
      <c r="A39" s="351" t="s">
        <v>1065</v>
      </c>
      <c r="B39" s="352" t="s">
        <v>1068</v>
      </c>
      <c r="C39" s="376">
        <f ca="1">ROUND(C33*F20,0)</f>
        <v>17965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19306</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18744</v>
      </c>
      <c r="D42" s="386"/>
      <c r="E42" s="386"/>
      <c r="F42" s="387"/>
      <c r="G42" s="3355" t="s">
        <v>1128</v>
      </c>
    </row>
    <row r="43" spans="1:7" ht="13.5" customHeight="1">
      <c r="A43" s="384" t="s">
        <v>1040</v>
      </c>
      <c r="B43" s="357" t="s">
        <v>1078</v>
      </c>
      <c r="C43" s="386">
        <f ca="1">ROUND(IF('数据-取费表'!B22&lt;=1,C39*F22*'数据-取费表'!B20/2,C39*(POWER((1+F22),'数据-取费表'!B20/2)-1)),0)</f>
        <v>562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92521</v>
      </c>
      <c r="D45" s="379">
        <f ca="1">C47</f>
        <v>3.0000000000000001E-3</v>
      </c>
      <c r="E45" s="380" t="s">
        <v>1106</v>
      </c>
      <c r="F45" s="394">
        <f ca="1">F27</f>
        <v>0.15</v>
      </c>
      <c r="G45" s="395" t="s">
        <v>1109</v>
      </c>
    </row>
    <row r="46" spans="1:7" s="333" customFormat="1" ht="13.5" customHeight="1">
      <c r="A46" s="384" t="s">
        <v>1038</v>
      </c>
      <c r="B46" s="396" t="s">
        <v>1110</v>
      </c>
      <c r="C46" s="397">
        <f ca="1">ROUND((C33+C39)*F27,0)</f>
        <v>92521</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789333</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670933</v>
      </c>
      <c r="D51" s="376"/>
      <c r="E51" s="376"/>
      <c r="F51" s="411"/>
      <c r="G51" s="381" t="s">
        <v>1120</v>
      </c>
    </row>
    <row r="52" spans="1:7" s="332" customFormat="1" ht="16.2">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87" customWidth="1"/>
    <col min="2" max="2" width="25.77734375" style="2120" customWidth="1"/>
    <col min="3" max="3" width="10.33203125" style="2121" customWidth="1"/>
    <col min="4" max="4" width="9.88671875" style="2120" customWidth="1"/>
    <col min="5" max="5" width="9.44140625" style="987" customWidth="1"/>
    <col min="6" max="6" width="10.109375" style="2120" customWidth="1"/>
    <col min="7" max="7" width="10.77734375" style="2120" customWidth="1"/>
    <col min="8" max="8" width="10" style="2120" customWidth="1"/>
    <col min="9" max="11" width="9.44140625" style="2120" customWidth="1"/>
    <col min="12" max="12" width="9" style="2120" customWidth="1"/>
    <col min="13" max="13" width="10.44140625" style="2120" customWidth="1"/>
    <col min="14" max="254" width="9" style="2120" customWidth="1"/>
    <col min="255" max="16384" width="6.6640625" style="2120"/>
  </cols>
  <sheetData>
    <row r="1" spans="1:33" ht="21">
      <c r="A1" s="339" t="s">
        <v>1131</v>
      </c>
      <c r="B1" s="939"/>
      <c r="C1" s="2122"/>
      <c r="D1" s="2123"/>
      <c r="E1" s="2124"/>
      <c r="F1" s="2124"/>
      <c r="G1" s="2125"/>
      <c r="H1" s="2124"/>
      <c r="I1" s="2124"/>
      <c r="J1" s="2124"/>
      <c r="K1" s="2192">
        <f>MATCH(C1,'数据-取费表'!A6:A16,0)+5</f>
        <v>7</v>
      </c>
    </row>
    <row r="2" spans="1:33" ht="18" customHeight="1">
      <c r="A2" s="343" t="s">
        <v>1029</v>
      </c>
      <c r="B2" s="347">
        <f ca="1">C32</f>
        <v>27488</v>
      </c>
      <c r="C2" s="2126" t="s">
        <v>1132</v>
      </c>
      <c r="D2" s="2126"/>
      <c r="E2" s="2124"/>
      <c r="F2" s="2124"/>
      <c r="G2" s="2124"/>
      <c r="H2" s="2124"/>
      <c r="I2" s="2124"/>
      <c r="J2" s="2124"/>
      <c r="K2" s="2124"/>
    </row>
    <row r="3" spans="1:33" ht="18" customHeight="1">
      <c r="A3" s="346" t="s">
        <v>1031</v>
      </c>
      <c r="B3" s="347">
        <f ca="1">ROUND(B2*10000/IF(C1="",'数据-汇总表'!E3,INDIRECT("'数据-取费表'!K"&amp;$K$1)),0)</f>
        <v>2301985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4.4">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119.41</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119.41</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-23880</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119.41</v>
      </c>
      <c r="E20" s="950">
        <f>'数据-取费表'!B28</f>
        <v>200</v>
      </c>
      <c r="F20" s="2150"/>
      <c r="G20" s="1998"/>
      <c r="H20" s="2157"/>
      <c r="I20" s="2157"/>
      <c r="J20" s="2157"/>
      <c r="K20" s="2200"/>
    </row>
    <row r="21" spans="1:33" s="2115" customFormat="1" ht="13.5" customHeight="1">
      <c r="A21" s="2133" t="s">
        <v>939</v>
      </c>
      <c r="B21" s="2158" t="s">
        <v>1163</v>
      </c>
      <c r="C21" s="2159">
        <f ca="1">C16+C17+C18</f>
        <v>-23880</v>
      </c>
      <c r="D21" s="2160"/>
      <c r="E21" s="2161"/>
      <c r="F21" s="2161"/>
      <c r="G21" s="1888" t="s">
        <v>1164</v>
      </c>
      <c r="H21" s="1999"/>
      <c r="I21" s="1999"/>
      <c r="J21" s="1999"/>
      <c r="K21" s="2000"/>
    </row>
    <row r="22" spans="1:33" s="2115" customFormat="1" ht="13.5" customHeight="1">
      <c r="A22" s="2133" t="s">
        <v>943</v>
      </c>
      <c r="B22" s="2158" t="s">
        <v>1165</v>
      </c>
      <c r="C22" s="2159">
        <f ca="1">ROUND(C21*F22,0)</f>
        <v>-716</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-3689</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-3689</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27488</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39.6">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36">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ht="24">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36">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6">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24">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6">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C22" zoomScaleNormal="70" workbookViewId="0">
      <selection activeCell="D64" sqref="D64"/>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242.53370000000001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20311</v>
      </c>
      <c r="C3" s="1376" t="s">
        <v>1377</v>
      </c>
      <c r="D3" s="1377">
        <f>IF(D1="",'数据-汇总表'!E3,SUMIF('数据-汇总表'!$C19:$C33,D1,'数据-汇总表'!$E19:$E33))</f>
        <v>119.41</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c r="A5" s="1029"/>
      <c r="B5" s="1030"/>
      <c r="C5" s="3367" t="s">
        <v>2804</v>
      </c>
      <c r="D5" s="3368"/>
      <c r="E5" s="3367" t="s">
        <v>2804</v>
      </c>
      <c r="F5" s="3368"/>
      <c r="G5" s="3367" t="s">
        <v>2804</v>
      </c>
      <c r="H5" s="3368"/>
      <c r="I5" s="3367" t="s">
        <v>2804</v>
      </c>
      <c r="J5" s="3368"/>
      <c r="K5" s="1171"/>
      <c r="L5" s="1172"/>
      <c r="M5" s="1122"/>
      <c r="N5" s="1122"/>
      <c r="O5" s="1122"/>
      <c r="P5" s="3400"/>
      <c r="Q5" s="3401"/>
      <c r="R5" s="3406"/>
      <c r="S5" s="3407"/>
      <c r="T5" s="3406"/>
      <c r="U5" s="3407"/>
      <c r="V5" s="3379"/>
      <c r="W5" s="3379"/>
      <c r="X5" s="1214"/>
      <c r="Y5" s="3406"/>
      <c r="Z5" s="3407"/>
      <c r="AA5" s="3393"/>
      <c r="AB5" s="3393"/>
      <c r="AC5" s="3396"/>
    </row>
    <row r="6" spans="1:29" ht="14.4">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4.4">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4.4">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73" t="s">
        <v>1397</v>
      </c>
      <c r="Q8" s="3376"/>
      <c r="R8" s="1215" t="s">
        <v>1393</v>
      </c>
      <c r="S8" s="1216">
        <f t="shared" si="0"/>
        <v>105</v>
      </c>
      <c r="T8" s="1215" t="s">
        <v>1393</v>
      </c>
      <c r="U8" s="1216">
        <f t="shared" si="1"/>
        <v>105</v>
      </c>
      <c r="V8" s="1215" t="s">
        <v>1393</v>
      </c>
      <c r="W8" s="1216">
        <f t="shared" si="2"/>
        <v>105</v>
      </c>
      <c r="X8" s="1217"/>
      <c r="Y8" s="3375" t="s">
        <v>1397</v>
      </c>
      <c r="Z8" s="3376"/>
      <c r="AA8" s="1227">
        <f t="shared" ref="AA8:AA47" si="3">D8/F8</f>
        <v>0.95238095238095233</v>
      </c>
      <c r="AB8" s="1227">
        <f t="shared" ref="AB8:AB47" si="4">D8/H8</f>
        <v>0.95238095238095233</v>
      </c>
      <c r="AC8" s="2096">
        <f t="shared" ref="AC8:AC47" si="5">D8/J8</f>
        <v>0.95238095238095233</v>
      </c>
    </row>
    <row r="9" spans="1:29" s="1008" customFormat="1" ht="14.4">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8.8">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8.8">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81"/>
      <c r="Q27" s="625" t="str">
        <f t="shared" ref="Q27:Q47" si="11">B27</f>
        <v>楼层</v>
      </c>
      <c r="R27" s="1219" t="s">
        <v>1393</v>
      </c>
      <c r="S27" s="1220">
        <f>F27</f>
        <v>100</v>
      </c>
      <c r="T27" s="1219" t="s">
        <v>1393</v>
      </c>
      <c r="U27" s="1220">
        <f>H27</f>
        <v>103</v>
      </c>
      <c r="V27" s="1219" t="s">
        <v>1393</v>
      </c>
      <c r="W27" s="1220">
        <f>J27</f>
        <v>103</v>
      </c>
      <c r="X27" s="1214"/>
      <c r="Y27" s="3386"/>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119.41</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83"/>
      <c r="Q34" s="1415" t="str">
        <f t="shared" si="11"/>
        <v>项目建筑规模</v>
      </c>
      <c r="R34" s="1221" t="s">
        <v>1393</v>
      </c>
      <c r="S34" s="1222">
        <f t="shared" si="12"/>
        <v>100</v>
      </c>
      <c r="T34" s="1221" t="s">
        <v>1393</v>
      </c>
      <c r="U34" s="1222">
        <f t="shared" si="13"/>
        <v>100</v>
      </c>
      <c r="V34" s="1221" t="s">
        <v>1393</v>
      </c>
      <c r="W34" s="1222">
        <f t="shared" si="14"/>
        <v>100</v>
      </c>
      <c r="X34" s="1223"/>
      <c r="Y34" s="3387"/>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83"/>
      <c r="Q43" s="625" t="str">
        <f t="shared" si="11"/>
        <v>内部装修</v>
      </c>
      <c r="R43" s="1219" t="s">
        <v>1393</v>
      </c>
      <c r="S43" s="1220">
        <f t="shared" si="12"/>
        <v>104</v>
      </c>
      <c r="T43" s="1219" t="s">
        <v>1393</v>
      </c>
      <c r="U43" s="1220">
        <f t="shared" si="13"/>
        <v>100</v>
      </c>
      <c r="V43" s="1219" t="s">
        <v>1393</v>
      </c>
      <c r="W43" s="1220">
        <f t="shared" si="14"/>
        <v>100</v>
      </c>
      <c r="X43" s="1214"/>
      <c r="Y43" s="3387"/>
      <c r="Z43" s="1204" t="str">
        <f t="shared" si="15"/>
        <v>内部装修</v>
      </c>
      <c r="AA43" s="1204">
        <f t="shared" si="3"/>
        <v>0.96153846153846156</v>
      </c>
      <c r="AB43" s="1204">
        <f t="shared" si="4"/>
        <v>1</v>
      </c>
      <c r="AC43" s="2097">
        <f t="shared" si="5"/>
        <v>1</v>
      </c>
    </row>
    <row r="44" spans="1:29" ht="28.8">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4.4">
      <c r="A48" s="1105" t="s">
        <v>1437</v>
      </c>
      <c r="B48" s="1398"/>
      <c r="C48" s="1399" t="s">
        <v>124</v>
      </c>
      <c r="D48" s="1108"/>
      <c r="E48" s="1109">
        <v>20078</v>
      </c>
      <c r="F48" s="1110"/>
      <c r="G48" s="1109">
        <v>22984</v>
      </c>
      <c r="H48" s="1112"/>
      <c r="I48" s="1109">
        <v>23029</v>
      </c>
      <c r="J48" s="1112"/>
      <c r="K48" s="1195"/>
      <c r="L48" s="1196"/>
      <c r="M48" s="1122"/>
      <c r="N48" s="1122"/>
      <c r="O48" s="1122"/>
      <c r="P48" s="3377" t="str">
        <f>A48</f>
        <v>成交单价（元/平方米）</v>
      </c>
      <c r="Q48" s="3378"/>
      <c r="R48" s="3379">
        <f>E48</f>
        <v>20078</v>
      </c>
      <c r="S48" s="3379"/>
      <c r="T48" s="3379">
        <f>G48</f>
        <v>22984</v>
      </c>
      <c r="U48" s="3379"/>
      <c r="V48" s="3379">
        <f>I48</f>
        <v>23029</v>
      </c>
      <c r="W48" s="3379"/>
      <c r="X48" s="1162"/>
      <c r="Y48" s="1229"/>
      <c r="Z48" s="1162"/>
      <c r="AA48" s="1162"/>
      <c r="AB48" s="1162"/>
      <c r="AC48" s="1067"/>
    </row>
    <row r="49" spans="1:29" ht="14.4">
      <c r="A49" s="1113" t="s">
        <v>1438</v>
      </c>
      <c r="B49" s="1400"/>
      <c r="C49" s="1401">
        <f>R50</f>
        <v>20311</v>
      </c>
      <c r="D49" s="1116" t="s">
        <v>1439</v>
      </c>
      <c r="E49" s="1402">
        <f>R49</f>
        <v>18386</v>
      </c>
      <c r="F49" s="1117"/>
      <c r="G49" s="1401">
        <f>T49</f>
        <v>21252</v>
      </c>
      <c r="H49" s="1117"/>
      <c r="I49" s="1402">
        <f>V49</f>
        <v>21294</v>
      </c>
      <c r="J49" s="1117"/>
      <c r="K49" s="1197">
        <f>F49+H49+J49</f>
        <v>0</v>
      </c>
      <c r="L49" s="1196"/>
      <c r="M49" s="1122"/>
      <c r="N49" s="1122"/>
      <c r="O49" s="1122"/>
      <c r="P49" s="3377" t="str">
        <f>A49</f>
        <v>比较价值（元/平方米）</v>
      </c>
      <c r="Q49" s="3378"/>
      <c r="R49" s="3379">
        <f>IF(F1="售价",ROUND(PRODUCT(R48,AA7:AA47),0),ROUND(PRODUCT(R48,AA7:AA47),1))</f>
        <v>18386</v>
      </c>
      <c r="S49" s="3379"/>
      <c r="T49" s="3379">
        <f>IF(F1="售价",ROUND(PRODUCT(T48,AB7:AB47),0),ROUND(PRODUCT(T48,AB7:AB47),1))</f>
        <v>21252</v>
      </c>
      <c r="U49" s="3379"/>
      <c r="V49" s="3379">
        <f>IF(F1="售价",ROUND(PRODUCT(V48,AC7:AC47),0),ROUND(PRODUCT(V48,AC7:AC47),1))</f>
        <v>21294</v>
      </c>
      <c r="W49" s="3379"/>
      <c r="X49" s="1162"/>
      <c r="Y49" s="1162"/>
      <c r="Z49" s="1162"/>
      <c r="AA49" s="1162"/>
      <c r="AB49" s="1162"/>
      <c r="AC49" s="1067"/>
    </row>
    <row r="50" spans="1:29" ht="14.4">
      <c r="A50" s="1119" t="s">
        <v>1440</v>
      </c>
      <c r="B50" s="1120"/>
      <c r="C50" s="1032">
        <f>R50</f>
        <v>20311</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20311</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9.2026541934080219E-2</v>
      </c>
      <c r="F53" s="1126" t="str">
        <f>IF(OR(E53&gt;=0.3,E53&lt;=-0.3),"超过30%","")</f>
        <v/>
      </c>
      <c r="G53" s="1125">
        <f>IF(G48&lt;G49,G49/G48-1,G48/G49-1)</f>
        <v>8.1498211932994558E-2</v>
      </c>
      <c r="H53" s="1126" t="str">
        <f>IF(OR(G53&gt;=0.3,G53&lt;=-0.3),"超过30%","")</f>
        <v/>
      </c>
      <c r="I53" s="1125">
        <f>IF(I48&lt;I49,I49/I48-1,I48/I49-1)</f>
        <v>8.1478350709119907E-2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0.15587947351245512</v>
      </c>
      <c r="F54" s="1126" t="str">
        <f>IF(OR(E54&gt;=0.2,E54&lt;=-0.2),"超过20%","")</f>
        <v/>
      </c>
      <c r="G54" s="1125">
        <f>IF(G49&lt;I49,I49/G49-1,G49/I49-1)</f>
        <v>1.9762845849802257E-3</v>
      </c>
      <c r="H54" s="1126" t="str">
        <f>IF(OR(G54&gt;=0.2,G54&lt;=-0.2),"超过20%","")</f>
        <v/>
      </c>
      <c r="I54" s="1125">
        <f>IF(I49&lt;E49,E49/I49-1,I49/E49-1)</f>
        <v>0.15816382029805287</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6">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4.4">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4.4">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4.4">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ht="14.4">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8.8">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4.4">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ht="14.4">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4.4">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4.4">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4.4">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4.4">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8.8">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4.4">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ht="14.4">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4.4">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ht="14.4">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ht="14.4">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ht="14.4">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ht="14.4">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ht="14.4">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ht="14.4">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ht="14.4">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ht="14.4">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ht="14.4">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ht="28.8">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24590</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4.4">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4.4">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5"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1227">
        <f>D7/J7</f>
        <v>1</v>
      </c>
    </row>
    <row r="8" spans="1:29" s="1008" customFormat="1" ht="14.4">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ht="14.4">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119.41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28.8">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4.4">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4.4">
      <c r="A48" s="1113" t="s">
        <v>1438</v>
      </c>
      <c r="B48" s="1400"/>
      <c r="C48" s="1401">
        <f>R49</f>
        <v>24590</v>
      </c>
      <c r="D48" s="1116" t="s">
        <v>1439</v>
      </c>
      <c r="E48" s="1402">
        <f>R48</f>
        <v>24473</v>
      </c>
      <c r="F48" s="1117">
        <v>0.4</v>
      </c>
      <c r="G48" s="1401">
        <f>T48</f>
        <v>25754</v>
      </c>
      <c r="H48" s="1117">
        <v>0.2</v>
      </c>
      <c r="I48" s="1402">
        <f>V48</f>
        <v>23543</v>
      </c>
      <c r="J48" s="1117">
        <v>0.4</v>
      </c>
      <c r="K48" s="1197">
        <f>F48+H48+J48</f>
        <v>1</v>
      </c>
      <c r="L48" s="1196"/>
      <c r="M48" s="1122"/>
      <c r="N48" s="1122"/>
      <c r="O48" s="1122"/>
      <c r="P48" s="3378" t="str">
        <f>A48</f>
        <v>比较价值（元/平方米）</v>
      </c>
      <c r="Q48" s="3378"/>
      <c r="R48" s="3379">
        <f>IF(F1="售价",ROUND(PRODUCT(R47,AA7:AA46),0),ROUND(PRODUCT(R47,AA7:AA46),1))</f>
        <v>24473</v>
      </c>
      <c r="S48" s="3379"/>
      <c r="T48" s="3379">
        <f>IF(F1="售价",ROUND(PRODUCT(T47,AB7:AB46),0),ROUND(PRODUCT(T47,AB7:AB46),1))</f>
        <v>25754</v>
      </c>
      <c r="U48" s="3379"/>
      <c r="V48" s="3379">
        <f>IF(F1="售价",ROUND(PRODUCT(V47,AC7:AC46),0),ROUND(PRODUCT(V47,AC7:AC46),1))</f>
        <v>23543</v>
      </c>
      <c r="W48" s="3379"/>
      <c r="X48" s="1162"/>
      <c r="Y48" s="1162"/>
      <c r="Z48" s="1162"/>
      <c r="AA48" s="1162"/>
      <c r="AB48" s="1162"/>
      <c r="AC48" s="1162"/>
    </row>
    <row r="49" spans="1:29" ht="14.4">
      <c r="A49" s="1119" t="s">
        <v>1440</v>
      </c>
      <c r="B49" s="1120"/>
      <c r="C49" s="1032">
        <f>R49</f>
        <v>24590</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24590</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6">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4.4">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4.4">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4.4">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ht="14.4">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8.8">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4.4">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ht="14.4">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4.4">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4.4">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4.4">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4.4">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4.4">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4.4">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4.4">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4.4">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4.4">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ht="14.4">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4.4">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ht="14.4">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ht="14.4">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ht="14.4">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ht="14.4">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ht="14.4">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ht="14.4">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ht="14.4">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ht="14.4">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ht="14.4">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ht="28.8">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ht="14.4">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商业交易情况</formula1>
    </dataValidation>
    <dataValidation type="list" allowBlank="1" showInputMessage="1" showErrorMessage="1" sqref="E9 G9 I9" xr:uid="{00000000-0002-0000-1700-000006000000}">
      <formula1>商业用途</formula1>
    </dataValidation>
    <dataValidation type="list" allowBlank="1" showInputMessage="1" showErrorMessage="1" sqref="C16 E16 G16 I16" xr:uid="{00000000-0002-0000-1700-000007000000}">
      <formula1>商业繁华度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商业临街状况</formula1>
    </dataValidation>
    <dataValidation type="list" allowBlank="1" showInputMessage="1" showErrorMessage="1" sqref="C27 E27 G27 I27" xr:uid="{00000000-0002-0000-1700-00000D000000}">
      <formula1>商业人流量</formula1>
    </dataValidation>
    <dataValidation type="list" allowBlank="1" showInputMessage="1" showErrorMessage="1" sqref="C28 E28 G28 I28" xr:uid="{00000000-0002-0000-1700-00000E000000}">
      <formula1>商业楼层</formula1>
    </dataValidation>
    <dataValidation type="list" allowBlank="1" showInputMessage="1" showErrorMessage="1" sqref="C32 E32 G32 I32" xr:uid="{00000000-0002-0000-1700-00000F000000}">
      <formula1>商业类型</formula1>
    </dataValidation>
    <dataValidation type="list" allowBlank="1" showInputMessage="1" showErrorMessage="1" sqref="C34 E34 G34 I34" xr:uid="{00000000-0002-0000-1700-000010000000}">
      <formula1>商业建筑结构</formula1>
    </dataValidation>
    <dataValidation type="list" allowBlank="1" showInputMessage="1" showErrorMessage="1" sqref="C35 E35 G35 I35" xr:uid="{00000000-0002-0000-1700-000011000000}">
      <formula1>商业公共部分装修</formula1>
    </dataValidation>
    <dataValidation type="list" allowBlank="1" showInputMessage="1" showErrorMessage="1" sqref="C37 E37 G37 I37" xr:uid="{00000000-0002-0000-1700-000012000000}">
      <formula1>商业基础设施水平</formula1>
    </dataValidation>
    <dataValidation type="list" allowBlank="1" showInputMessage="1" showErrorMessage="1" sqref="C38 E38 G38 I38" xr:uid="{00000000-0002-0000-1700-000013000000}">
      <formula1>商业业态</formula1>
    </dataValidation>
    <dataValidation type="list" allowBlank="1" showInputMessage="1" showErrorMessage="1" sqref="C39 E39 G39 I39" xr:uid="{00000000-0002-0000-1700-000014000000}">
      <formula1>商业层高</formula1>
    </dataValidation>
    <dataValidation type="list" allowBlank="1" showInputMessage="1" showErrorMessage="1" sqref="C41 E41 G41 I41" xr:uid="{00000000-0002-0000-1700-000015000000}">
      <formula1>商业进深比</formula1>
    </dataValidation>
    <dataValidation type="list" allowBlank="1" showInputMessage="1" showErrorMessage="1" sqref="C42 E42 G42 I42" xr:uid="{00000000-0002-0000-1700-000016000000}">
      <formula1>商业内部装修</formula1>
    </dataValidation>
    <dataValidation type="list" allowBlank="1" showInputMessage="1" showErrorMessage="1" sqref="C43 E43 G43 I43" xr:uid="{00000000-0002-0000-1700-000017000000}">
      <formula1>内部装修维护情况</formula1>
    </dataValidation>
    <dataValidation type="list" allowBlank="1" showInputMessage="1" showErrorMessage="1" sqref="D48"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Q47" sqref="Q47:Q5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t="s">
        <v>230</v>
      </c>
      <c r="D1" s="1820" t="s">
        <v>124</v>
      </c>
      <c r="E1" s="1821" t="s">
        <v>1185</v>
      </c>
      <c r="F1" s="1822">
        <f ca="1">J53</f>
        <v>36.1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115.8048</v>
      </c>
      <c r="C2" s="1826" t="s">
        <v>1187</v>
      </c>
      <c r="D2" s="1827">
        <f ca="1">C40+J29+L46</f>
        <v>1158048</v>
      </c>
      <c r="E2" s="1828" t="s">
        <v>1462</v>
      </c>
      <c r="F2" s="1829"/>
      <c r="G2" s="1830"/>
      <c r="H2" s="1831"/>
      <c r="I2" s="1831"/>
      <c r="J2" s="1831"/>
      <c r="K2" s="1986"/>
      <c r="L2" s="1831"/>
      <c r="M2" s="1831"/>
    </row>
    <row r="3" spans="1:37" ht="18" customHeight="1">
      <c r="A3" s="1832" t="s">
        <v>1188</v>
      </c>
      <c r="B3" s="1833">
        <f ca="1">IF(ISERROR(D2/F43),0,ROUND(D2/F43,0))</f>
        <v>9698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74187</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74094</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119.41</v>
      </c>
      <c r="G7" s="718"/>
      <c r="H7" s="1854"/>
      <c r="I7" s="3361"/>
      <c r="J7" s="1855"/>
      <c r="K7" s="1852"/>
      <c r="L7" s="1848" t="s">
        <v>1202</v>
      </c>
      <c r="M7" s="1849">
        <f ca="1">F7</f>
        <v>119.41</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93</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670933</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537345</v>
      </c>
      <c r="D14" s="1879" t="s">
        <v>1215</v>
      </c>
      <c r="E14" s="1880"/>
      <c r="F14" s="1881"/>
      <c r="G14" s="718"/>
      <c r="H14" s="1877" t="s">
        <v>939</v>
      </c>
      <c r="I14" s="1848" t="s">
        <v>1216</v>
      </c>
      <c r="J14" s="950">
        <f ca="1">C29</f>
        <v>789333</v>
      </c>
      <c r="K14" s="1998"/>
      <c r="L14" s="1999"/>
      <c r="M14" s="2000"/>
    </row>
    <row r="15" spans="1:37" s="1816" customFormat="1" ht="18" customHeight="1">
      <c r="A15" s="1877" t="s">
        <v>966</v>
      </c>
      <c r="B15" s="1848" t="s">
        <v>1145</v>
      </c>
      <c r="C15" s="950">
        <f ca="1">ROUND(C14*F15,0)</f>
        <v>26867</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3947</v>
      </c>
      <c r="K16" s="1897" t="s">
        <v>1221</v>
      </c>
      <c r="L16" s="1898"/>
      <c r="M16" s="1844"/>
    </row>
    <row r="17" spans="1:37" s="1816" customFormat="1" ht="18" customHeight="1">
      <c r="A17" s="1877" t="s">
        <v>1222</v>
      </c>
      <c r="B17" s="1848" t="s">
        <v>1223</v>
      </c>
      <c r="C17" s="950">
        <f ca="1">ROUND(F17*(F43+INDIRECT("'数据-取费表'!S"&amp;$G$1)),0)</f>
        <v>23882</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10747</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598841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17965</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3947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19306</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-3947</v>
      </c>
      <c r="K25" s="1916" t="s">
        <v>1259</v>
      </c>
      <c r="L25" s="1917"/>
      <c r="M25" s="1918"/>
    </row>
    <row r="26" spans="1:37" ht="18" customHeight="1">
      <c r="A26" s="1877" t="s">
        <v>962</v>
      </c>
      <c r="B26" s="1848" t="s">
        <v>1260</v>
      </c>
      <c r="C26" s="950">
        <f ca="1">ROUND((C19+C20)*F26,0)</f>
        <v>92521</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789333</v>
      </c>
      <c r="D29" s="1894"/>
      <c r="E29" s="1870"/>
      <c r="F29" s="1895"/>
      <c r="G29" s="1884"/>
      <c r="H29" s="1896" t="s">
        <v>1275</v>
      </c>
      <c r="I29" s="1925" t="s">
        <v>1276</v>
      </c>
      <c r="J29" s="1926">
        <f ca="1">ROUND(J26/(1+F40)^F41,0)</f>
        <v>0</v>
      </c>
      <c r="K29" s="1927" t="s">
        <v>1277</v>
      </c>
      <c r="L29" s="1928"/>
      <c r="M29" s="1929">
        <f ca="1">INDIRECT("'数据-取费表'!k"&amp;$G$1)</f>
        <v>119.41</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17780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12420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3952</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8468</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3947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671</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742</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56407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1134849</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9504</v>
      </c>
      <c r="D43" s="1927" t="s">
        <v>1282</v>
      </c>
      <c r="E43" s="1928" t="s">
        <v>1283</v>
      </c>
      <c r="F43" s="1929">
        <f ca="1">INDIRECT("'数据-取费表'!k"&amp;$G$1)</f>
        <v>119.41</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-120.666</v>
      </c>
      <c r="D45" s="1934" t="s">
        <v>1470</v>
      </c>
      <c r="E45" s="1930"/>
      <c r="F45" s="1930"/>
      <c r="O45" s="2014" t="s">
        <v>1284</v>
      </c>
      <c r="P45" s="1920"/>
      <c r="Q45" s="1920"/>
      <c r="R45" s="1920"/>
    </row>
    <row r="46" spans="1:18" s="718" customFormat="1">
      <c r="A46" s="1935" t="s">
        <v>1285</v>
      </c>
      <c r="C46" s="1936">
        <f ca="1">ROUND(C45,0)</f>
        <v>-121</v>
      </c>
      <c r="D46" s="1937" t="str">
        <f>C2</f>
        <v>万元</v>
      </c>
      <c r="I46" s="2015" t="s">
        <v>1286</v>
      </c>
      <c r="J46" s="2016"/>
      <c r="K46" s="2017"/>
      <c r="L46" s="2018">
        <f ca="1">IF(M47="住宅",0,IF(L48&gt;J51,L60,J60))</f>
        <v>23199</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1134849</v>
      </c>
      <c r="R47" s="2063" t="s">
        <v>1294</v>
      </c>
    </row>
    <row r="48" spans="1:18" s="718" customFormat="1" ht="39.6">
      <c r="A48" s="1942" t="s">
        <v>1295</v>
      </c>
      <c r="B48" s="1840" t="s">
        <v>1196</v>
      </c>
      <c r="C48" s="951">
        <f ca="1">C49+C53+C55</f>
        <v>0</v>
      </c>
      <c r="D48" s="1943"/>
      <c r="E48" s="1944"/>
      <c r="F48" s="1945"/>
      <c r="G48" s="1941"/>
      <c r="H48" s="1946"/>
      <c r="I48" s="2028" t="s">
        <v>1296</v>
      </c>
      <c r="J48" s="2029" t="s">
        <v>1471</v>
      </c>
      <c r="K48" s="2030" t="s">
        <v>1297</v>
      </c>
      <c r="L48" s="2031">
        <f ca="1">INDIRECT("'数据-取费表'!f"&amp;$G$1)</f>
        <v>36.1</v>
      </c>
      <c r="O48" s="2026" t="s">
        <v>1047</v>
      </c>
      <c r="P48" s="2027" t="s">
        <v>1298</v>
      </c>
      <c r="Q48" s="2063">
        <f ca="1">J60</f>
        <v>23199</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789333</v>
      </c>
      <c r="R49" s="2063" t="s">
        <v>1294</v>
      </c>
    </row>
    <row r="50" spans="1:18" s="718" customFormat="1">
      <c r="A50" s="1953"/>
      <c r="B50" s="915"/>
      <c r="C50" s="1954"/>
      <c r="D50" s="1955"/>
      <c r="E50" s="1956" t="s">
        <v>1202</v>
      </c>
      <c r="F50" s="1957">
        <f ca="1">F7</f>
        <v>119.41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173151</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36.1</v>
      </c>
      <c r="K53" s="3358" t="s">
        <v>1322</v>
      </c>
      <c r="L53" s="3359"/>
      <c r="O53" s="2026" t="s">
        <v>1147</v>
      </c>
      <c r="P53" s="2027" t="s">
        <v>1323</v>
      </c>
      <c r="Q53" s="2063">
        <f ca="1">Q47+Q48</f>
        <v>1158048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0.248</v>
      </c>
      <c r="K55" s="2049" t="s">
        <v>1327</v>
      </c>
      <c r="L55" s="2050"/>
      <c r="O55" s="2019" t="s">
        <v>1287</v>
      </c>
      <c r="P55" s="2020" t="s">
        <v>1288</v>
      </c>
      <c r="Q55" s="2062" t="s">
        <v>1289</v>
      </c>
      <c r="R55" s="2062" t="s">
        <v>1290</v>
      </c>
    </row>
    <row r="56" spans="1:18" s="718" customFormat="1" ht="36" customHeight="1">
      <c r="A56" s="1965">
        <v>2</v>
      </c>
      <c r="B56" s="1966" t="s">
        <v>1211</v>
      </c>
      <c r="C56" s="376">
        <f ca="1">C13</f>
        <v>670933</v>
      </c>
      <c r="D56" s="1967"/>
      <c r="E56" s="1968"/>
      <c r="F56" s="1964"/>
      <c r="I56" s="2051" t="s">
        <v>1328</v>
      </c>
      <c r="J56" s="2052" t="s">
        <v>534</v>
      </c>
      <c r="K56" s="2028" t="s">
        <v>1329</v>
      </c>
      <c r="L56" s="2031" t="str">
        <f ca="1">IF(L48&lt;J51,"——",L48-J51)</f>
        <v>——</v>
      </c>
      <c r="O56" s="2026" t="s">
        <v>1044</v>
      </c>
      <c r="P56" s="2027" t="s">
        <v>1293</v>
      </c>
      <c r="Q56" s="2063">
        <f ca="1">C40+J29</f>
        <v>1134849</v>
      </c>
      <c r="R56" s="2063" t="s">
        <v>1294</v>
      </c>
    </row>
    <row r="57" spans="1:18" s="718" customFormat="1" ht="24">
      <c r="A57" s="1969"/>
      <c r="B57" s="1970" t="s">
        <v>1274</v>
      </c>
      <c r="C57" s="386">
        <f ca="1">C29</f>
        <v>789333</v>
      </c>
      <c r="D57" s="1971"/>
      <c r="E57" s="1972"/>
      <c r="F57" s="1973"/>
      <c r="I57" s="2053" t="s">
        <v>1330</v>
      </c>
      <c r="J57" s="2054">
        <f ca="1">IF(OR(M47="住宅",J51&lt;L48,J56="是"),"——",J51-L48)</f>
        <v>14.899999999999999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4618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315733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23199</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1134849</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3947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671</v>
      </c>
      <c r="D65" s="1978" t="s">
        <v>1251</v>
      </c>
      <c r="E65" s="1970" t="s">
        <v>1218</v>
      </c>
      <c r="F65" s="1914">
        <f t="shared" ca="1" si="0"/>
        <v>1E-3</v>
      </c>
      <c r="I65" s="2059" t="s">
        <v>1352</v>
      </c>
      <c r="J65" s="1139">
        <v>40</v>
      </c>
      <c r="K65" s="1139">
        <v>30</v>
      </c>
      <c r="L65" s="1139">
        <v>50</v>
      </c>
      <c r="M65" s="2061">
        <v>0.02</v>
      </c>
      <c r="O65" s="2026" t="s">
        <v>1044</v>
      </c>
      <c r="P65" s="2027" t="s">
        <v>1293</v>
      </c>
      <c r="Q65" s="2063">
        <f ca="1">C40+J29</f>
        <v>1134849</v>
      </c>
      <c r="R65" s="2063" t="s">
        <v>1294</v>
      </c>
    </row>
    <row r="66" spans="1:18" s="718" customFormat="1" ht="15.6">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24">
      <c r="A67" s="1965" t="s">
        <v>1257</v>
      </c>
      <c r="B67" s="2065" t="s">
        <v>1258</v>
      </c>
      <c r="C67" s="949">
        <f ca="1">C48-C58</f>
        <v>-4618</v>
      </c>
      <c r="D67" s="1977" t="s">
        <v>1259</v>
      </c>
      <c r="E67" s="2066"/>
      <c r="F67" s="2067"/>
      <c r="O67" s="2034" t="s">
        <v>1305</v>
      </c>
      <c r="P67" s="2027" t="s">
        <v>1336</v>
      </c>
      <c r="Q67" s="2087">
        <f ca="1">L51</f>
        <v>173151</v>
      </c>
      <c r="R67" s="2063" t="s">
        <v>1353</v>
      </c>
    </row>
    <row r="68" spans="1:18" s="718" customFormat="1" ht="15.6">
      <c r="A68" s="2068" t="s">
        <v>1263</v>
      </c>
      <c r="B68" s="2069" t="s">
        <v>1280</v>
      </c>
      <c r="C68" s="1919">
        <f ca="1">ROUND(C67*(1-((1+F70)/(1+F68))^F69)/(F68-F70),0)</f>
        <v>-71811</v>
      </c>
      <c r="D68" s="1980" t="s">
        <v>1265</v>
      </c>
      <c r="E68" s="1970" t="s">
        <v>1266</v>
      </c>
      <c r="F68" s="1856">
        <f ca="1">F40</f>
        <v>5.5E-2</v>
      </c>
      <c r="O68" s="2034" t="s">
        <v>1309</v>
      </c>
      <c r="P68" s="2086" t="s">
        <v>1354</v>
      </c>
      <c r="Q68" s="2063">
        <f ca="1">ROUND(Q69-Q70*Q71,0)</f>
        <v>9442</v>
      </c>
      <c r="R68" s="2063" t="s">
        <v>1355</v>
      </c>
    </row>
    <row r="69" spans="1:18" s="718" customFormat="1">
      <c r="A69" s="2070"/>
      <c r="B69" s="2071"/>
      <c r="C69" s="1855"/>
      <c r="D69" s="2072" t="s">
        <v>1269</v>
      </c>
      <c r="E69" s="1970" t="s">
        <v>1270</v>
      </c>
      <c r="F69" s="1923">
        <f ca="1">F41</f>
        <v>36.1</v>
      </c>
      <c r="O69" s="2034" t="s">
        <v>1356</v>
      </c>
      <c r="P69" s="2086" t="s">
        <v>1357</v>
      </c>
      <c r="Q69" s="2063">
        <f ca="1">C39</f>
        <v>56407</v>
      </c>
      <c r="R69" s="2063" t="s">
        <v>1294</v>
      </c>
    </row>
    <row r="70" spans="1:18" s="718" customFormat="1">
      <c r="A70" s="2073"/>
      <c r="B70" s="2074"/>
      <c r="C70" s="1874"/>
      <c r="D70" s="1982"/>
      <c r="E70" s="1970" t="s">
        <v>1273</v>
      </c>
      <c r="F70" s="1960"/>
      <c r="O70" s="2034" t="s">
        <v>1358</v>
      </c>
      <c r="P70" s="2086" t="s">
        <v>1359</v>
      </c>
      <c r="Q70" s="2063">
        <f ca="1">C13</f>
        <v>670933</v>
      </c>
      <c r="R70" s="2063" t="s">
        <v>1294</v>
      </c>
    </row>
    <row r="71" spans="1:18" s="718" customFormat="1">
      <c r="A71" s="2075" t="s">
        <v>1275</v>
      </c>
      <c r="B71" s="2076" t="s">
        <v>1281</v>
      </c>
      <c r="C71" s="1926">
        <f ca="1">ROUND(C68/F71,0)</f>
        <v>-601</v>
      </c>
      <c r="D71" s="2077" t="s">
        <v>1282</v>
      </c>
      <c r="E71" s="2078" t="s">
        <v>1283</v>
      </c>
      <c r="F71" s="1929">
        <f ca="1">F43</f>
        <v>119.41</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46965</v>
      </c>
      <c r="D75" s="718"/>
      <c r="E75" s="718"/>
      <c r="F75" s="718"/>
      <c r="K75" s="2013"/>
      <c r="L75" s="718"/>
      <c r="O75" s="2026" t="s">
        <v>1147</v>
      </c>
      <c r="P75" s="2027" t="s">
        <v>1323</v>
      </c>
      <c r="Q75" s="2063">
        <f ca="1">Q65+Q66</f>
        <v>1134849</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0.16700000000000004</v>
      </c>
    </row>
    <row r="80" spans="1:18">
      <c r="B80" s="2080" t="s">
        <v>1369</v>
      </c>
      <c r="C80" s="419">
        <f ca="1">ROUND(C75/C39,3)</f>
        <v>0.83299999999999996</v>
      </c>
    </row>
    <row r="81" spans="2:3">
      <c r="B81" s="416" t="s">
        <v>1370</v>
      </c>
      <c r="C81" s="386"/>
    </row>
    <row r="82" spans="2:3">
      <c r="B82" s="418" t="s">
        <v>1123</v>
      </c>
      <c r="C82" s="420">
        <f ca="1">1-C83</f>
        <v>0.40900000000000003</v>
      </c>
    </row>
    <row r="83" spans="2:3">
      <c r="B83" s="418" t="s">
        <v>1124</v>
      </c>
      <c r="C83" s="419">
        <f ca="1">ROUND(C13/C40,3)</f>
        <v>0.59099999999999997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2"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2"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2"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2"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2"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2"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2"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2"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2"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2"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2"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2"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2"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2"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2"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2"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2"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2"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2"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2"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2"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2"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2"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2"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2"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2"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2"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2"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2"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2"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2"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2"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2"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2"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2"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1589</v>
      </c>
      <c r="B1" s="685"/>
      <c r="C1" s="685"/>
      <c r="D1" s="685"/>
      <c r="E1" s="1626"/>
      <c r="F1" s="1627"/>
      <c r="G1" s="1507"/>
      <c r="H1" s="1507"/>
      <c r="I1" s="1507"/>
      <c r="J1" s="1507"/>
      <c r="K1" s="1507"/>
      <c r="L1" s="1507"/>
      <c r="M1" s="1507"/>
      <c r="N1" s="1507"/>
      <c r="O1" s="1507"/>
      <c r="P1" s="1507"/>
      <c r="Q1" s="1507"/>
      <c r="R1" s="1507"/>
      <c r="S1" s="1507"/>
    </row>
    <row r="2" spans="1:22" ht="15.6">
      <c r="A2" s="1628" t="s">
        <v>1029</v>
      </c>
      <c r="B2" s="713">
        <f ca="1">SUMIF(B6:B13,"&lt;&gt;#ref!",B6:B13)</f>
        <v>115.8048</v>
      </c>
      <c r="C2" s="1629" t="s">
        <v>1590</v>
      </c>
      <c r="D2" s="1630" t="s">
        <v>1591</v>
      </c>
      <c r="E2" s="1631">
        <f>SUM(E6:E13)</f>
        <v>119.41</v>
      </c>
      <c r="F2" s="1627"/>
      <c r="G2" s="1507"/>
      <c r="H2" s="1507"/>
      <c r="I2" s="1507"/>
      <c r="J2" s="1507"/>
      <c r="K2" s="1507"/>
      <c r="L2" s="1507"/>
      <c r="M2" s="1507"/>
      <c r="N2" s="1507"/>
      <c r="O2" s="1507"/>
      <c r="P2" s="1507"/>
      <c r="Q2" s="1507"/>
      <c r="R2" s="1507"/>
      <c r="S2" s="1507"/>
    </row>
    <row r="3" spans="1:22" ht="15.6">
      <c r="A3" s="1628" t="s">
        <v>1031</v>
      </c>
      <c r="B3" s="1632">
        <f ca="1">ROUND(B2*10000/E2,0)</f>
        <v>9698</v>
      </c>
      <c r="C3" s="1629" t="s">
        <v>1592</v>
      </c>
      <c r="D3" s="1627"/>
      <c r="E3" s="1633"/>
      <c r="F3" s="1627"/>
      <c r="G3" s="1507"/>
      <c r="H3" s="1507"/>
      <c r="I3" s="1507"/>
      <c r="J3" s="1507"/>
      <c r="K3" s="1507"/>
      <c r="L3" s="1507"/>
      <c r="M3" s="1507"/>
      <c r="N3" s="1507"/>
      <c r="O3" s="1507"/>
      <c r="P3" s="1507"/>
      <c r="Q3" s="1507"/>
      <c r="R3" s="1507"/>
      <c r="S3" s="1507"/>
    </row>
    <row r="4" spans="1:22" ht="15.6">
      <c r="A4" s="1634"/>
      <c r="B4" s="1627"/>
      <c r="C4" s="1627"/>
      <c r="D4" s="1627"/>
      <c r="E4" s="1633"/>
      <c r="F4" s="1627"/>
      <c r="G4" s="1507"/>
      <c r="H4" s="1507"/>
      <c r="I4" s="1507"/>
      <c r="J4" s="1507"/>
      <c r="K4" s="1507"/>
      <c r="L4" s="1507"/>
      <c r="M4" s="1507"/>
      <c r="N4" s="1507"/>
      <c r="O4" s="1507"/>
      <c r="P4" s="1507"/>
      <c r="Q4" s="1507"/>
      <c r="R4" s="1507"/>
      <c r="S4" s="1507"/>
    </row>
    <row r="5" spans="1:22" ht="14.4">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ht="14.4">
      <c r="A6" s="1638" t="str">
        <f>'数据-取费表'!AN6</f>
        <v>收益法 (元)</v>
      </c>
      <c r="B6" s="884">
        <f ca="1">IF(F6="是",'数据-取费表'!AO6,0)</f>
        <v>115.8048</v>
      </c>
      <c r="C6" s="1629" t="s">
        <v>1590</v>
      </c>
      <c r="D6" s="1627"/>
      <c r="E6" s="1639">
        <f>IF(OR(A6=0,F6="否"),0,'数据-取费表'!K6+'数据-取费表'!S6)</f>
        <v>119.41</v>
      </c>
      <c r="F6" s="1640" t="s">
        <v>1597</v>
      </c>
      <c r="G6" s="1507"/>
      <c r="H6" s="1507"/>
      <c r="I6" s="1507"/>
      <c r="J6" s="1507"/>
      <c r="K6" s="1507"/>
      <c r="L6" s="1507"/>
      <c r="M6" s="1507"/>
      <c r="N6" s="1507"/>
      <c r="O6" s="1507"/>
      <c r="P6" s="1507"/>
      <c r="Q6" s="1507"/>
      <c r="R6" s="1507"/>
      <c r="S6" s="1507"/>
    </row>
    <row r="7" spans="1:22" ht="14.4">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ht="14.4">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ht="14.4">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ht="14.4">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ht="14.4">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ht="14.4">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ht="14.4">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119.41</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4.4">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4.4">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4.4">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ht="14.4">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8">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28.8">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4.4">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4.4">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4.4">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6">
      <c r="A57" s="1161" t="s">
        <v>1444</v>
      </c>
      <c r="B57" s="1162"/>
      <c r="C57" s="1163"/>
      <c r="D57" s="1163"/>
      <c r="E57" s="1163"/>
      <c r="F57" s="1164"/>
      <c r="G57" s="1164"/>
      <c r="H57" s="1163"/>
      <c r="I57" s="1163"/>
      <c r="J57" s="1163"/>
      <c r="K57" s="1358"/>
      <c r="L57" s="1359"/>
      <c r="M57" s="1212"/>
      <c r="N57" s="1212"/>
      <c r="O57" s="1212"/>
      <c r="P57" s="1573"/>
      <c r="Q57" s="1503"/>
    </row>
    <row r="58" spans="1:29" s="1013" customFormat="1" ht="14.4">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c r="A59" s="1078"/>
      <c r="B59" s="1555"/>
      <c r="C59" s="1408">
        <v>100</v>
      </c>
      <c r="D59" s="1526"/>
      <c r="E59" s="1245"/>
      <c r="F59" s="1245"/>
      <c r="G59" s="1245"/>
      <c r="H59" s="1245"/>
      <c r="I59" s="1245"/>
      <c r="J59" s="1245"/>
      <c r="K59" s="1245"/>
      <c r="L59" s="1245"/>
      <c r="M59" s="1053"/>
      <c r="N59" s="1245"/>
      <c r="O59" s="1053"/>
      <c r="P59" s="1575"/>
    </row>
    <row r="60" spans="1:29" s="1008" customFormat="1" ht="14.4">
      <c r="A60" s="1236" t="s">
        <v>1445</v>
      </c>
      <c r="B60" s="1237"/>
      <c r="C60" s="1238"/>
      <c r="D60" s="1239"/>
      <c r="E60" s="1239"/>
      <c r="F60" s="1239"/>
      <c r="G60" s="1239"/>
      <c r="H60" s="1239"/>
      <c r="I60" s="1239"/>
      <c r="J60" s="1239"/>
      <c r="K60" s="1239"/>
      <c r="L60" s="1239"/>
      <c r="M60" s="1280"/>
      <c r="N60" s="1239"/>
      <c r="O60" s="1280"/>
      <c r="P60" s="1575"/>
      <c r="Q60" s="1503"/>
    </row>
    <row r="61" spans="1:29" s="1008" customFormat="1" ht="14.4">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c r="A62" s="1240"/>
      <c r="B62" s="1241"/>
      <c r="C62" s="1526">
        <v>100</v>
      </c>
      <c r="D62" s="1245"/>
      <c r="E62" s="1245"/>
      <c r="F62" s="1245"/>
      <c r="G62" s="1245"/>
      <c r="H62" s="1245"/>
      <c r="I62" s="1245"/>
      <c r="J62" s="1245"/>
      <c r="K62" s="1245"/>
      <c r="L62" s="1245"/>
      <c r="M62" s="1285"/>
      <c r="N62" s="1506"/>
      <c r="O62" s="1506"/>
      <c r="P62" s="1575"/>
      <c r="Q62" s="1503"/>
    </row>
    <row r="63" spans="1:29" ht="14.4">
      <c r="A63" s="1062" t="s">
        <v>1447</v>
      </c>
      <c r="B63" s="1246" t="s">
        <v>1399</v>
      </c>
      <c r="C63" s="621">
        <f>C9</f>
        <v>0</v>
      </c>
      <c r="D63" s="1193"/>
      <c r="E63" s="1193"/>
      <c r="F63" s="1193"/>
      <c r="G63" s="1193"/>
      <c r="H63" s="1193"/>
      <c r="I63" s="1193"/>
      <c r="J63" s="1193"/>
      <c r="K63" s="1286"/>
      <c r="L63" s="1287"/>
      <c r="M63" s="1288"/>
      <c r="N63" s="1508"/>
      <c r="O63" s="1508"/>
      <c r="P63" s="1577"/>
      <c r="Q63" s="1503"/>
    </row>
    <row r="64" spans="1:29">
      <c r="A64" s="1049"/>
      <c r="B64" s="1247"/>
      <c r="C64" s="1248">
        <v>100</v>
      </c>
      <c r="D64" s="1248"/>
      <c r="E64" s="1248"/>
      <c r="F64" s="1248"/>
      <c r="G64" s="1248"/>
      <c r="H64" s="1248"/>
      <c r="I64" s="1248"/>
      <c r="J64" s="1248"/>
      <c r="K64" s="1248"/>
      <c r="L64" s="1248"/>
      <c r="M64" s="1290"/>
      <c r="N64" s="1510"/>
      <c r="O64" s="1510"/>
      <c r="P64" s="1577"/>
      <c r="Q64" s="1503"/>
    </row>
    <row r="65" spans="1:17" ht="28.8">
      <c r="A65" s="1049"/>
      <c r="B65" s="1249" t="s">
        <v>1402</v>
      </c>
      <c r="C65" s="1272"/>
      <c r="D65" s="1272"/>
      <c r="E65" s="1272"/>
      <c r="F65" s="1272"/>
      <c r="G65" s="1272"/>
      <c r="H65" s="1272"/>
      <c r="I65" s="1272"/>
      <c r="J65" s="1272"/>
      <c r="K65" s="1272"/>
      <c r="L65" s="1272"/>
      <c r="M65" s="1272"/>
      <c r="N65" s="1510"/>
      <c r="O65" s="1510"/>
      <c r="P65" s="1577"/>
      <c r="Q65" s="1503"/>
    </row>
    <row r="66" spans="1:17">
      <c r="A66" s="1049"/>
      <c r="B66" s="1251"/>
      <c r="C66" s="1248"/>
      <c r="D66" s="1248"/>
      <c r="E66" s="1248"/>
      <c r="F66" s="1248"/>
      <c r="G66" s="1248"/>
      <c r="H66" s="1248"/>
      <c r="I66" s="1248"/>
      <c r="J66" s="1248"/>
      <c r="K66" s="1248"/>
      <c r="L66" s="1248"/>
      <c r="M66" s="1290"/>
      <c r="N66" s="1510"/>
      <c r="O66" s="1510"/>
      <c r="P66" s="1577"/>
      <c r="Q66" s="1503"/>
    </row>
    <row r="67" spans="1:17" ht="14.4">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c r="A68" s="1049"/>
      <c r="B68" s="1255"/>
      <c r="C68" s="1055"/>
      <c r="D68" s="1055"/>
      <c r="E68" s="1055"/>
      <c r="F68" s="1055"/>
      <c r="G68" s="1055"/>
      <c r="H68" s="1055"/>
      <c r="I68" s="1055"/>
      <c r="J68" s="1055"/>
      <c r="K68" s="1296"/>
      <c r="L68" s="1297"/>
      <c r="M68" s="1298"/>
      <c r="N68" s="1508"/>
      <c r="O68" s="1508"/>
      <c r="P68" s="1577"/>
      <c r="Q68" s="1503"/>
    </row>
    <row r="69" spans="1:17">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c r="A70" s="1256"/>
      <c r="B70" s="1249">
        <f>B12</f>
        <v>111</v>
      </c>
      <c r="C70" s="1257"/>
      <c r="D70" s="1257"/>
      <c r="E70" s="1257"/>
      <c r="F70" s="1257"/>
      <c r="G70" s="1257"/>
      <c r="H70" s="1258"/>
      <c r="I70" s="1258"/>
      <c r="J70" s="1258"/>
      <c r="K70" s="1258"/>
      <c r="L70" s="1299"/>
      <c r="M70" s="1300"/>
      <c r="N70" s="1511"/>
      <c r="O70" s="1511"/>
      <c r="P70" s="1580"/>
      <c r="Q70" s="1513"/>
    </row>
    <row r="71" spans="1:17" s="1010" customFormat="1">
      <c r="A71" s="1256"/>
      <c r="B71" s="1251"/>
      <c r="C71" s="1259"/>
      <c r="D71" s="1248"/>
      <c r="E71" s="1248"/>
      <c r="F71" s="1248"/>
      <c r="G71" s="1248"/>
      <c r="H71" s="1248"/>
      <c r="I71" s="1248"/>
      <c r="J71" s="1248"/>
      <c r="K71" s="1248"/>
      <c r="L71" s="1248"/>
      <c r="M71" s="1290"/>
      <c r="N71" s="1510"/>
      <c r="O71" s="1510"/>
      <c r="P71" s="1580"/>
      <c r="Q71" s="1513"/>
    </row>
    <row r="72" spans="1:17" s="1010" customFormat="1">
      <c r="A72" s="1256"/>
      <c r="B72" s="1249">
        <f>B13</f>
        <v>111</v>
      </c>
      <c r="C72" s="1257"/>
      <c r="D72" s="1257"/>
      <c r="E72" s="1257"/>
      <c r="F72" s="1257"/>
      <c r="G72" s="1257"/>
      <c r="H72" s="1258"/>
      <c r="I72" s="1258"/>
      <c r="J72" s="1258"/>
      <c r="K72" s="1258"/>
      <c r="L72" s="1299"/>
      <c r="M72" s="1300"/>
      <c r="N72" s="1511"/>
      <c r="O72" s="1511"/>
      <c r="P72" s="1581"/>
      <c r="Q72" s="1516"/>
    </row>
    <row r="73" spans="1:17" s="1010" customFormat="1">
      <c r="A73" s="1256"/>
      <c r="B73" s="1251"/>
      <c r="C73" s="1259"/>
      <c r="D73" s="1259"/>
      <c r="E73" s="1259"/>
      <c r="F73" s="1259"/>
      <c r="G73" s="1259"/>
      <c r="H73" s="1260"/>
      <c r="I73" s="1260"/>
      <c r="J73" s="1260"/>
      <c r="K73" s="1260"/>
      <c r="L73" s="1260"/>
      <c r="M73" s="1302"/>
      <c r="N73" s="1511"/>
      <c r="O73" s="1511"/>
      <c r="P73" s="1580"/>
      <c r="Q73" s="1513"/>
    </row>
    <row r="74" spans="1:17" s="1010" customFormat="1">
      <c r="A74" s="1256"/>
      <c r="B74" s="1253">
        <f>B14</f>
        <v>111</v>
      </c>
      <c r="C74" s="1257"/>
      <c r="D74" s="1257"/>
      <c r="E74" s="1257"/>
      <c r="F74" s="1257"/>
      <c r="G74" s="1243"/>
      <c r="H74" s="1261"/>
      <c r="I74" s="1261"/>
      <c r="J74" s="1261"/>
      <c r="K74" s="1261"/>
      <c r="L74" s="1303"/>
      <c r="M74" s="1304"/>
      <c r="N74" s="1511"/>
      <c r="O74" s="1511"/>
      <c r="P74" s="1582"/>
      <c r="Q74" s="1513"/>
    </row>
    <row r="75" spans="1:17" s="1010" customFormat="1">
      <c r="A75" s="1262"/>
      <c r="B75" s="1263"/>
      <c r="C75" s="1264"/>
      <c r="D75" s="1264"/>
      <c r="E75" s="1264"/>
      <c r="F75" s="1264"/>
      <c r="G75" s="1264"/>
      <c r="H75" s="1265"/>
      <c r="I75" s="1265"/>
      <c r="J75" s="1265"/>
      <c r="K75" s="1265"/>
      <c r="L75" s="1265"/>
      <c r="M75" s="1306"/>
      <c r="N75" s="1511"/>
      <c r="O75" s="1511"/>
      <c r="P75" s="1580"/>
      <c r="Q75" s="1513"/>
    </row>
    <row r="76" spans="1:17" ht="14.4">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4.4">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4.4">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4.4">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4.4">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4.4">
      <c r="A86" s="1052"/>
      <c r="B86" s="1249" t="s">
        <v>1601</v>
      </c>
      <c r="C86" s="1257"/>
      <c r="D86" s="1257"/>
      <c r="E86" s="1257"/>
      <c r="F86" s="1257"/>
      <c r="G86" s="1257"/>
      <c r="H86" s="1257"/>
      <c r="I86" s="1257"/>
      <c r="J86" s="1257"/>
      <c r="K86" s="1257"/>
      <c r="L86" s="1420"/>
      <c r="M86" s="1421"/>
      <c r="N86" s="1506"/>
      <c r="O86" s="1506"/>
      <c r="P86" s="1577"/>
      <c r="Q86" s="1503"/>
    </row>
    <row r="87" spans="1:17" s="1008" customFormat="1">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4.4">
      <c r="A88" s="1052"/>
      <c r="B88" s="1249" t="s">
        <v>1417</v>
      </c>
      <c r="C88" s="1257"/>
      <c r="D88" s="1257"/>
      <c r="E88" s="1257"/>
      <c r="F88" s="1538"/>
      <c r="G88" s="1257"/>
      <c r="H88" s="1257"/>
      <c r="I88" s="1257"/>
      <c r="J88" s="1257"/>
      <c r="K88" s="1257"/>
      <c r="L88" s="1257"/>
      <c r="M88" s="1421"/>
      <c r="N88" s="1506"/>
      <c r="O88" s="1506"/>
      <c r="P88" s="1577"/>
      <c r="Q88" s="1503"/>
    </row>
    <row r="89" spans="1:17" s="1008" customFormat="1">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c r="A90" s="1256"/>
      <c r="B90" s="1249">
        <f>B27</f>
        <v>111</v>
      </c>
      <c r="C90" s="1257"/>
      <c r="D90" s="1257"/>
      <c r="E90" s="1257"/>
      <c r="F90" s="1257"/>
      <c r="G90" s="1257"/>
      <c r="H90" s="1258"/>
      <c r="I90" s="1258"/>
      <c r="J90" s="1258"/>
      <c r="K90" s="1258"/>
      <c r="L90" s="1299"/>
      <c r="M90" s="1300"/>
      <c r="N90" s="1511"/>
      <c r="O90" s="1511"/>
      <c r="P90" s="1580"/>
      <c r="Q90" s="1513"/>
    </row>
    <row r="91" spans="1:17" s="1010" customFormat="1">
      <c r="A91" s="1256"/>
      <c r="B91" s="1251"/>
      <c r="C91" s="1259"/>
      <c r="D91" s="1259"/>
      <c r="E91" s="1259"/>
      <c r="F91" s="1259"/>
      <c r="G91" s="1259"/>
      <c r="H91" s="1260"/>
      <c r="I91" s="1260"/>
      <c r="J91" s="1260"/>
      <c r="K91" s="1260"/>
      <c r="L91" s="1260"/>
      <c r="M91" s="1302"/>
      <c r="N91" s="1511"/>
      <c r="O91" s="1511"/>
      <c r="P91" s="1580"/>
      <c r="Q91" s="1513"/>
    </row>
    <row r="92" spans="1:17">
      <c r="A92" s="1049"/>
      <c r="B92" s="1249">
        <f>B28</f>
        <v>111</v>
      </c>
      <c r="C92" s="1257"/>
      <c r="D92" s="1257"/>
      <c r="E92" s="1257"/>
      <c r="F92" s="1257"/>
      <c r="G92" s="1272"/>
      <c r="H92" s="1272"/>
      <c r="I92" s="1272"/>
      <c r="J92" s="1272"/>
      <c r="K92" s="1317"/>
      <c r="L92" s="1318"/>
      <c r="M92" s="1319"/>
      <c r="N92" s="1508"/>
      <c r="O92" s="1508"/>
      <c r="P92" s="1577"/>
      <c r="Q92" s="1503"/>
    </row>
    <row r="93" spans="1:17">
      <c r="A93" s="1049"/>
      <c r="B93" s="1251"/>
      <c r="C93" s="1259"/>
      <c r="D93" s="1248"/>
      <c r="E93" s="1248"/>
      <c r="F93" s="1248"/>
      <c r="G93" s="1248"/>
      <c r="H93" s="1248"/>
      <c r="I93" s="1248"/>
      <c r="J93" s="1248"/>
      <c r="K93" s="1248"/>
      <c r="L93" s="1248"/>
      <c r="M93" s="1290"/>
      <c r="N93" s="1510"/>
      <c r="O93" s="1510"/>
      <c r="P93" s="1577"/>
      <c r="Q93" s="1503"/>
    </row>
    <row r="94" spans="1:17">
      <c r="A94" s="1049"/>
      <c r="B94" s="1249">
        <f>B29</f>
        <v>111</v>
      </c>
      <c r="C94" s="1257"/>
      <c r="D94" s="1257"/>
      <c r="E94" s="1257"/>
      <c r="F94" s="1257"/>
      <c r="G94" s="1272"/>
      <c r="H94" s="1272"/>
      <c r="I94" s="1272"/>
      <c r="J94" s="1272"/>
      <c r="K94" s="1317"/>
      <c r="L94" s="1318"/>
      <c r="M94" s="1319"/>
      <c r="N94" s="1508"/>
      <c r="O94" s="1508"/>
      <c r="P94" s="1577"/>
      <c r="Q94" s="1503"/>
    </row>
    <row r="95" spans="1:17">
      <c r="A95" s="1049"/>
      <c r="B95" s="1251"/>
      <c r="C95" s="1259"/>
      <c r="D95" s="1259"/>
      <c r="E95" s="1259"/>
      <c r="F95" s="1259"/>
      <c r="G95" s="1248"/>
      <c r="H95" s="1248"/>
      <c r="I95" s="1248"/>
      <c r="J95" s="1248"/>
      <c r="K95" s="1248"/>
      <c r="L95" s="1248"/>
      <c r="M95" s="1290"/>
      <c r="N95" s="1510"/>
      <c r="O95" s="1510"/>
      <c r="P95" s="1577"/>
      <c r="Q95" s="1503"/>
    </row>
    <row r="96" spans="1:17">
      <c r="A96" s="1049"/>
      <c r="B96" s="1249">
        <f>B30</f>
        <v>111</v>
      </c>
      <c r="C96" s="1257"/>
      <c r="D96" s="1257"/>
      <c r="E96" s="1257"/>
      <c r="F96" s="1257"/>
      <c r="G96" s="1272"/>
      <c r="H96" s="1272"/>
      <c r="I96" s="1272"/>
      <c r="J96" s="1272"/>
      <c r="K96" s="1317"/>
      <c r="L96" s="1318"/>
      <c r="M96" s="1319"/>
      <c r="N96" s="1508"/>
      <c r="O96" s="1508"/>
      <c r="P96" s="1577"/>
      <c r="Q96" s="1503"/>
    </row>
    <row r="97" spans="1:17">
      <c r="A97" s="1049"/>
      <c r="B97" s="1251"/>
      <c r="C97" s="1264"/>
      <c r="D97" s="1264"/>
      <c r="E97" s="1264"/>
      <c r="F97" s="1264"/>
      <c r="G97" s="1248"/>
      <c r="H97" s="1248"/>
      <c r="I97" s="1248"/>
      <c r="J97" s="1248"/>
      <c r="K97" s="1248"/>
      <c r="L97" s="1248"/>
      <c r="M97" s="1290"/>
      <c r="N97" s="1510"/>
      <c r="O97" s="1510"/>
      <c r="P97" s="1577"/>
      <c r="Q97" s="1503"/>
    </row>
    <row r="98" spans="1:17">
      <c r="A98" s="1049"/>
      <c r="B98" s="1253">
        <f>B31</f>
        <v>111</v>
      </c>
      <c r="C98" s="1273"/>
      <c r="D98" s="1273"/>
      <c r="E98" s="1273"/>
      <c r="F98" s="1273"/>
      <c r="G98" s="1273"/>
      <c r="H98" s="1273"/>
      <c r="I98" s="1273"/>
      <c r="J98" s="1273"/>
      <c r="K98" s="1320"/>
      <c r="L98" s="1321"/>
      <c r="M98" s="1322"/>
      <c r="N98" s="1508"/>
      <c r="O98" s="1508"/>
      <c r="P98" s="1577"/>
      <c r="Q98" s="1503"/>
    </row>
    <row r="99" spans="1:17">
      <c r="A99" s="1058"/>
      <c r="B99" s="1263"/>
      <c r="C99" s="1274"/>
      <c r="D99" s="1274"/>
      <c r="E99" s="1274"/>
      <c r="F99" s="1274"/>
      <c r="G99" s="1274"/>
      <c r="H99" s="1274"/>
      <c r="I99" s="1274"/>
      <c r="J99" s="1274"/>
      <c r="K99" s="1274"/>
      <c r="L99" s="1274"/>
      <c r="M99" s="1323"/>
      <c r="N99" s="1510"/>
      <c r="O99" s="1510"/>
      <c r="P99" s="1577"/>
      <c r="Q99" s="1503"/>
    </row>
    <row r="100" spans="1:17" ht="14.4">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4.4">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c r="A104" s="1256"/>
      <c r="B104" s="1251"/>
      <c r="C104" s="1259"/>
      <c r="D104" s="1248"/>
      <c r="E104" s="1248"/>
      <c r="F104" s="1248"/>
      <c r="G104" s="1248"/>
      <c r="H104" s="1248"/>
      <c r="I104" s="1248"/>
      <c r="J104" s="1248"/>
      <c r="K104" s="1248"/>
      <c r="L104" s="1248"/>
      <c r="M104" s="1248"/>
      <c r="N104" s="1510"/>
      <c r="O104" s="1510"/>
      <c r="P104" s="1580"/>
      <c r="Q104" s="1513"/>
    </row>
    <row r="105" spans="1:17" ht="14.4">
      <c r="A105" s="1098"/>
      <c r="B105" s="1249" t="s">
        <v>1423</v>
      </c>
      <c r="C105" s="1257"/>
      <c r="D105" s="1257"/>
      <c r="E105" s="1272"/>
      <c r="F105" s="1272"/>
      <c r="G105" s="1272"/>
      <c r="H105" s="1272"/>
      <c r="I105" s="1272"/>
      <c r="J105" s="1272"/>
      <c r="K105" s="1317"/>
      <c r="L105" s="1318"/>
      <c r="M105" s="1319"/>
      <c r="N105" s="1508"/>
      <c r="O105" s="1508"/>
      <c r="P105" s="1577"/>
      <c r="Q105" s="1503"/>
    </row>
    <row r="106" spans="1:17">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ht="14.4">
      <c r="A107" s="1098"/>
      <c r="B107" s="1249" t="s">
        <v>1602</v>
      </c>
      <c r="C107" s="1272"/>
      <c r="D107" s="1272"/>
      <c r="E107" s="1272"/>
      <c r="F107" s="1272"/>
      <c r="G107" s="1272"/>
      <c r="H107" s="1272"/>
      <c r="I107" s="1272"/>
      <c r="J107" s="1272"/>
      <c r="K107" s="1317"/>
      <c r="L107" s="1318"/>
      <c r="M107" s="1319"/>
      <c r="N107" s="1508"/>
      <c r="O107" s="1508"/>
      <c r="P107" s="1577"/>
      <c r="Q107" s="1503"/>
    </row>
    <row r="108" spans="1:17">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ht="14.4">
      <c r="A109" s="1098"/>
      <c r="B109" s="1249" t="s">
        <v>1425</v>
      </c>
      <c r="C109" s="1257"/>
      <c r="D109" s="1257"/>
      <c r="E109" s="1257"/>
      <c r="F109" s="1272"/>
      <c r="G109" s="1272"/>
      <c r="H109" s="1272"/>
      <c r="I109" s="1272"/>
      <c r="J109" s="1272"/>
      <c r="K109" s="1317"/>
      <c r="L109" s="1318"/>
      <c r="M109" s="1319"/>
      <c r="N109" s="1508"/>
      <c r="O109" s="1508"/>
      <c r="P109" s="1577"/>
      <c r="Q109" s="1503"/>
    </row>
    <row r="110" spans="1:17">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ht="14.4">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ht="14.4">
      <c r="A114" s="1098"/>
      <c r="B114" s="1249" t="s">
        <v>1429</v>
      </c>
      <c r="C114" s="1257"/>
      <c r="D114" s="1257"/>
      <c r="E114" s="1272"/>
      <c r="F114" s="1272"/>
      <c r="G114" s="1272"/>
      <c r="H114" s="1272"/>
      <c r="I114" s="1272"/>
      <c r="J114" s="1272"/>
      <c r="K114" s="1317"/>
      <c r="L114" s="1318"/>
      <c r="M114" s="1319"/>
      <c r="N114" s="1508"/>
      <c r="O114" s="1508"/>
      <c r="P114" s="1577"/>
      <c r="Q114" s="1503"/>
    </row>
    <row r="115" spans="1:17">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ht="14.4">
      <c r="A116" s="1098"/>
      <c r="B116" s="1249" t="s">
        <v>1431</v>
      </c>
      <c r="C116" s="1257"/>
      <c r="D116" s="1257"/>
      <c r="E116" s="1257"/>
      <c r="F116" s="1257"/>
      <c r="G116" s="1257"/>
      <c r="H116" s="1272"/>
      <c r="I116" s="1272"/>
      <c r="J116" s="1272"/>
      <c r="K116" s="1317"/>
      <c r="L116" s="1318"/>
      <c r="M116" s="1319"/>
      <c r="N116" s="1508"/>
      <c r="O116" s="1508"/>
      <c r="P116" s="1577"/>
      <c r="Q116" s="1503"/>
    </row>
    <row r="117" spans="1:17">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ht="14.4">
      <c r="A118" s="1098"/>
      <c r="B118" s="1249" t="s">
        <v>1603</v>
      </c>
      <c r="C118" s="1272"/>
      <c r="D118" s="1272"/>
      <c r="E118" s="1272"/>
      <c r="F118" s="1272"/>
      <c r="G118" s="1272"/>
      <c r="H118" s="1272"/>
      <c r="I118" s="1272"/>
      <c r="J118" s="1272"/>
      <c r="K118" s="1317"/>
      <c r="L118" s="1318"/>
      <c r="M118" s="1319"/>
      <c r="N118" s="1508"/>
      <c r="O118" s="1508"/>
      <c r="P118" s="1577"/>
      <c r="Q118" s="1503"/>
    </row>
    <row r="119" spans="1:17">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8.8">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c r="A121" s="1256"/>
      <c r="B121" s="1247"/>
      <c r="C121" s="1259"/>
      <c r="D121" s="1248"/>
      <c r="E121" s="1248"/>
      <c r="F121" s="1248"/>
      <c r="G121" s="1248"/>
      <c r="H121" s="1248"/>
      <c r="I121" s="1248"/>
      <c r="J121" s="1248"/>
      <c r="K121" s="1248"/>
      <c r="L121" s="1248"/>
      <c r="M121" s="1248"/>
      <c r="N121" s="1511"/>
      <c r="O121" s="1511"/>
      <c r="P121" s="1580"/>
      <c r="Q121" s="1513"/>
    </row>
    <row r="122" spans="1:17" ht="14.4">
      <c r="A122" s="1098"/>
      <c r="B122" s="1249" t="s">
        <v>1434</v>
      </c>
      <c r="C122" s="1257"/>
      <c r="D122" s="1257"/>
      <c r="E122" s="1257"/>
      <c r="F122" s="1272"/>
      <c r="G122" s="1272"/>
      <c r="H122" s="1272"/>
      <c r="I122" s="1272"/>
      <c r="J122" s="1272"/>
      <c r="K122" s="1317"/>
      <c r="L122" s="1318"/>
      <c r="M122" s="1319"/>
      <c r="N122" s="1508"/>
      <c r="O122" s="1508"/>
      <c r="P122" s="1577"/>
      <c r="Q122" s="1503"/>
    </row>
    <row r="123" spans="1:17">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ht="28.8">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c r="A131" s="1058"/>
      <c r="B131" s="1263"/>
      <c r="C131" s="1264"/>
      <c r="D131" s="1264"/>
      <c r="E131" s="1264"/>
      <c r="F131" s="1264"/>
      <c r="G131" s="1274"/>
      <c r="H131" s="1274"/>
      <c r="I131" s="1274"/>
      <c r="J131" s="1274"/>
      <c r="K131" s="1274"/>
      <c r="L131" s="1274"/>
      <c r="M131" s="1323"/>
      <c r="N131" s="1510"/>
      <c r="O131" s="1510"/>
      <c r="P131" s="1577"/>
      <c r="Q131" s="1503"/>
    </row>
    <row r="136" spans="1:17" ht="14.4">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6">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ht="14.4">
      <c r="B147" s="1586" t="s">
        <v>1623</v>
      </c>
    </row>
    <row r="148" spans="2:11" ht="14.4">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119.41</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4.4">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4.4">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4.4">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ht="14.4">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69">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96.6">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1.4">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41.4">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82.8">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30">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4.4">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4.4">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4.4">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6">
      <c r="A51" s="1161" t="s">
        <v>1444</v>
      </c>
      <c r="B51" s="1162"/>
      <c r="C51" s="1163"/>
      <c r="D51" s="1163"/>
      <c r="E51" s="1163"/>
      <c r="F51" s="1164"/>
      <c r="G51" s="1164"/>
      <c r="H51" s="1163"/>
      <c r="I51" s="1163"/>
      <c r="J51" s="1163"/>
      <c r="K51" s="1358"/>
      <c r="L51" s="1359"/>
      <c r="M51" s="1212"/>
      <c r="N51" s="1212"/>
      <c r="O51" s="1212"/>
      <c r="P51" s="1502"/>
      <c r="Q51" s="1503"/>
    </row>
    <row r="52" spans="1:17" s="1013" customFormat="1" ht="14.4">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c r="A53" s="1078"/>
      <c r="B53" s="1241"/>
      <c r="C53" s="1408">
        <v>100</v>
      </c>
      <c r="D53" s="1245"/>
      <c r="E53" s="1245"/>
      <c r="F53" s="1245"/>
      <c r="G53" s="1245"/>
      <c r="H53" s="1245"/>
      <c r="I53" s="1245"/>
      <c r="J53" s="1245"/>
      <c r="K53" s="1245"/>
      <c r="L53" s="1245"/>
      <c r="M53" s="1053"/>
      <c r="N53" s="1245"/>
      <c r="O53" s="1285"/>
      <c r="P53" s="1503"/>
    </row>
    <row r="54" spans="1:17" s="1008" customFormat="1" ht="14.4">
      <c r="A54" s="1236" t="s">
        <v>1445</v>
      </c>
      <c r="B54" s="1237"/>
      <c r="C54" s="1238"/>
      <c r="D54" s="1239"/>
      <c r="E54" s="1239"/>
      <c r="F54" s="1239"/>
      <c r="G54" s="1239"/>
      <c r="H54" s="1239"/>
      <c r="I54" s="1239"/>
      <c r="J54" s="1239"/>
      <c r="K54" s="1239"/>
      <c r="L54" s="1239"/>
      <c r="M54" s="1280"/>
      <c r="N54" s="1504"/>
      <c r="O54" s="1505"/>
      <c r="P54" s="1503"/>
      <c r="Q54" s="1503"/>
    </row>
    <row r="55" spans="1:17" s="1008" customFormat="1" ht="14.4">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c r="A56" s="1240"/>
      <c r="B56" s="1241"/>
      <c r="C56" s="1244">
        <v>100</v>
      </c>
      <c r="D56" s="1245"/>
      <c r="E56" s="1245"/>
      <c r="F56" s="1245"/>
      <c r="G56" s="1245"/>
      <c r="H56" s="1245"/>
      <c r="I56" s="1245"/>
      <c r="J56" s="1245"/>
      <c r="K56" s="1245"/>
      <c r="L56" s="1245"/>
      <c r="M56" s="1285"/>
      <c r="N56" s="1506"/>
      <c r="O56" s="1506"/>
      <c r="P56" s="1503"/>
      <c r="Q56" s="1503"/>
    </row>
    <row r="57" spans="1:17" ht="14.4">
      <c r="A57" s="1062" t="s">
        <v>1447</v>
      </c>
      <c r="B57" s="1246" t="s">
        <v>1399</v>
      </c>
      <c r="C57" s="621">
        <f>C9</f>
        <v>0</v>
      </c>
      <c r="D57" s="1193"/>
      <c r="E57" s="1193"/>
      <c r="F57" s="1193"/>
      <c r="G57" s="1193"/>
      <c r="H57" s="1193"/>
      <c r="I57" s="1193"/>
      <c r="J57" s="1193"/>
      <c r="K57" s="1286"/>
      <c r="L57" s="1287"/>
      <c r="M57" s="1288"/>
      <c r="N57" s="1508"/>
      <c r="O57" s="1508"/>
      <c r="P57" s="1509"/>
      <c r="Q57" s="1503"/>
    </row>
    <row r="58" spans="1:17">
      <c r="A58" s="1049"/>
      <c r="B58" s="1247"/>
      <c r="C58" s="1248">
        <v>100</v>
      </c>
      <c r="D58" s="1248"/>
      <c r="E58" s="1248"/>
      <c r="F58" s="1248"/>
      <c r="G58" s="1248"/>
      <c r="H58" s="1248"/>
      <c r="I58" s="1248"/>
      <c r="J58" s="1248"/>
      <c r="K58" s="1248"/>
      <c r="L58" s="1248"/>
      <c r="M58" s="1290"/>
      <c r="N58" s="1510"/>
      <c r="O58" s="1510"/>
      <c r="P58" s="1509"/>
      <c r="Q58" s="1503"/>
    </row>
    <row r="59" spans="1:17" ht="28.8">
      <c r="A59" s="1049"/>
      <c r="B59" s="1249" t="s">
        <v>1402</v>
      </c>
      <c r="C59" s="1272"/>
      <c r="D59" s="1272"/>
      <c r="E59" s="1272"/>
      <c r="F59" s="1272"/>
      <c r="G59" s="1272"/>
      <c r="H59" s="1272"/>
      <c r="I59" s="1272"/>
      <c r="J59" s="1272"/>
      <c r="K59" s="1317"/>
      <c r="L59" s="1318"/>
      <c r="M59" s="1319"/>
      <c r="N59" s="1508"/>
      <c r="O59" s="1508"/>
      <c r="P59" s="1509"/>
      <c r="Q59" s="1503"/>
    </row>
    <row r="60" spans="1:17">
      <c r="A60" s="1049"/>
      <c r="B60" s="1251"/>
      <c r="C60" s="1248"/>
      <c r="D60" s="1248"/>
      <c r="E60" s="1248"/>
      <c r="F60" s="1248"/>
      <c r="G60" s="1248"/>
      <c r="H60" s="1248"/>
      <c r="I60" s="1248"/>
      <c r="J60" s="1248"/>
      <c r="K60" s="1248"/>
      <c r="L60" s="1248"/>
      <c r="M60" s="1290"/>
      <c r="N60" s="1510"/>
      <c r="O60" s="1510"/>
      <c r="P60" s="1509"/>
      <c r="Q60" s="1503"/>
    </row>
    <row r="61" spans="1:17" ht="14.4">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c r="A62" s="1049"/>
      <c r="B62" s="1255"/>
      <c r="C62" s="1055">
        <v>0</v>
      </c>
      <c r="D62" s="1055">
        <v>2</v>
      </c>
      <c r="E62" s="1055"/>
      <c r="F62" s="1055"/>
      <c r="G62" s="1055"/>
      <c r="H62" s="1055"/>
      <c r="I62" s="1055"/>
      <c r="J62" s="1055"/>
      <c r="K62" s="1296"/>
      <c r="L62" s="1297"/>
      <c r="M62" s="1298"/>
      <c r="N62" s="1508"/>
      <c r="O62" s="1508"/>
      <c r="P62" s="1509"/>
      <c r="Q62" s="1503"/>
    </row>
    <row r="63" spans="1:17">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c r="A64" s="1256"/>
      <c r="B64" s="1249">
        <f>B12</f>
        <v>111</v>
      </c>
      <c r="C64" s="1257"/>
      <c r="D64" s="1257"/>
      <c r="E64" s="1257"/>
      <c r="F64" s="1257"/>
      <c r="G64" s="1257"/>
      <c r="H64" s="1258"/>
      <c r="I64" s="1258"/>
      <c r="J64" s="1258"/>
      <c r="K64" s="1258"/>
      <c r="L64" s="1299"/>
      <c r="M64" s="1300"/>
      <c r="N64" s="1511"/>
      <c r="O64" s="1511"/>
      <c r="P64" s="1512"/>
      <c r="Q64" s="1513"/>
    </row>
    <row r="65" spans="1:17" s="1010" customFormat="1">
      <c r="A65" s="1256"/>
      <c r="B65" s="1251"/>
      <c r="C65" s="1259"/>
      <c r="D65" s="1248"/>
      <c r="E65" s="1248"/>
      <c r="F65" s="1248"/>
      <c r="G65" s="1248"/>
      <c r="H65" s="1248"/>
      <c r="I65" s="1248"/>
      <c r="J65" s="1248"/>
      <c r="K65" s="1248"/>
      <c r="L65" s="1248"/>
      <c r="M65" s="1290"/>
      <c r="N65" s="1510"/>
      <c r="O65" s="1510"/>
      <c r="P65" s="1512"/>
      <c r="Q65" s="1513"/>
    </row>
    <row r="66" spans="1:17" s="1010" customFormat="1">
      <c r="A66" s="1256"/>
      <c r="B66" s="1249">
        <f>B13</f>
        <v>111</v>
      </c>
      <c r="C66" s="1257"/>
      <c r="D66" s="1257"/>
      <c r="E66" s="1257"/>
      <c r="F66" s="1257"/>
      <c r="G66" s="1257"/>
      <c r="H66" s="1258"/>
      <c r="I66" s="1258"/>
      <c r="J66" s="1258"/>
      <c r="K66" s="1258"/>
      <c r="L66" s="1299"/>
      <c r="M66" s="1300"/>
      <c r="N66" s="1511"/>
      <c r="O66" s="1511"/>
      <c r="Q66" s="1516"/>
    </row>
    <row r="67" spans="1:17" s="1010" customFormat="1">
      <c r="A67" s="1256"/>
      <c r="B67" s="1251"/>
      <c r="C67" s="1259"/>
      <c r="D67" s="1248"/>
      <c r="E67" s="1248"/>
      <c r="F67" s="1248"/>
      <c r="G67" s="1259"/>
      <c r="H67" s="1260"/>
      <c r="I67" s="1260"/>
      <c r="J67" s="1260"/>
      <c r="K67" s="1260"/>
      <c r="L67" s="1260"/>
      <c r="M67" s="1302"/>
      <c r="N67" s="1511"/>
      <c r="O67" s="1511"/>
      <c r="P67" s="1512"/>
      <c r="Q67" s="1513"/>
    </row>
    <row r="68" spans="1:17" s="1010" customFormat="1">
      <c r="A68" s="1256"/>
      <c r="B68" s="1253">
        <f>B14</f>
        <v>111</v>
      </c>
      <c r="C68" s="1243"/>
      <c r="D68" s="1243"/>
      <c r="E68" s="1243"/>
      <c r="F68" s="1243"/>
      <c r="G68" s="1243"/>
      <c r="H68" s="1261"/>
      <c r="I68" s="1261"/>
      <c r="J68" s="1261"/>
      <c r="K68" s="1261"/>
      <c r="L68" s="1303"/>
      <c r="M68" s="1304"/>
      <c r="N68" s="1511"/>
      <c r="O68" s="1511"/>
      <c r="P68" s="1514"/>
      <c r="Q68" s="1513"/>
    </row>
    <row r="69" spans="1:17" s="1010" customFormat="1">
      <c r="A69" s="1262"/>
      <c r="B69" s="1263"/>
      <c r="C69" s="1264"/>
      <c r="D69" s="1264"/>
      <c r="E69" s="1264"/>
      <c r="F69" s="1264"/>
      <c r="G69" s="1264"/>
      <c r="H69" s="1265"/>
      <c r="I69" s="1265"/>
      <c r="J69" s="1265"/>
      <c r="K69" s="1265"/>
      <c r="L69" s="1265"/>
      <c r="M69" s="1306"/>
      <c r="N69" s="1511"/>
      <c r="O69" s="1511"/>
      <c r="P69" s="1512"/>
      <c r="Q69" s="1513"/>
    </row>
    <row r="70" spans="1:17" ht="14.4">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4.4">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4.4">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4.4">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4.4">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c r="A80" s="1052"/>
      <c r="B80" s="1249">
        <f>B25</f>
        <v>111</v>
      </c>
      <c r="C80" s="1257"/>
      <c r="D80" s="1257"/>
      <c r="E80" s="1257"/>
      <c r="F80" s="1257"/>
      <c r="G80" s="1257"/>
      <c r="H80" s="1257"/>
      <c r="I80" s="1257"/>
      <c r="J80" s="1257"/>
      <c r="K80" s="1257"/>
      <c r="L80" s="1420"/>
      <c r="M80" s="1421"/>
      <c r="N80" s="1506"/>
      <c r="O80" s="1506"/>
      <c r="P80" s="1509"/>
      <c r="Q80" s="1503"/>
    </row>
    <row r="81" spans="1:17" s="1008" customFormat="1">
      <c r="A81" s="1052"/>
      <c r="B81" s="1251"/>
      <c r="C81" s="1259"/>
      <c r="D81" s="1248"/>
      <c r="E81" s="1248"/>
      <c r="F81" s="1248"/>
      <c r="G81" s="1248"/>
      <c r="H81" s="1248"/>
      <c r="I81" s="1248"/>
      <c r="J81" s="1248"/>
      <c r="K81" s="1248"/>
      <c r="L81" s="1248"/>
      <c r="M81" s="1290"/>
      <c r="N81" s="1510"/>
      <c r="O81" s="1510"/>
      <c r="P81" s="1509"/>
      <c r="Q81" s="1503"/>
    </row>
    <row r="82" spans="1:17" s="1008" customFormat="1">
      <c r="A82" s="1052"/>
      <c r="B82" s="1249">
        <f>B26</f>
        <v>111</v>
      </c>
      <c r="C82" s="1257"/>
      <c r="D82" s="1257"/>
      <c r="E82" s="1257"/>
      <c r="F82" s="1257"/>
      <c r="G82" s="1257"/>
      <c r="H82" s="1257"/>
      <c r="I82" s="1257"/>
      <c r="J82" s="1257"/>
      <c r="K82" s="1257"/>
      <c r="L82" s="1420"/>
      <c r="M82" s="1421"/>
      <c r="N82" s="1506"/>
      <c r="O82" s="1506"/>
      <c r="P82" s="1509"/>
      <c r="Q82" s="1503"/>
    </row>
    <row r="83" spans="1:17" s="1008" customFormat="1">
      <c r="A83" s="1052"/>
      <c r="B83" s="1251"/>
      <c r="C83" s="1259"/>
      <c r="D83" s="1248"/>
      <c r="E83" s="1248"/>
      <c r="F83" s="1248"/>
      <c r="G83" s="1248"/>
      <c r="H83" s="1248"/>
      <c r="I83" s="1248"/>
      <c r="J83" s="1248"/>
      <c r="K83" s="1248"/>
      <c r="L83" s="1248"/>
      <c r="M83" s="1290"/>
      <c r="N83" s="1510"/>
      <c r="O83" s="1510"/>
      <c r="P83" s="1509"/>
      <c r="Q83" s="1503"/>
    </row>
    <row r="84" spans="1:17" s="1010" customFormat="1">
      <c r="A84" s="1256"/>
      <c r="B84" s="1249">
        <f>B27</f>
        <v>111</v>
      </c>
      <c r="C84" s="1257"/>
      <c r="D84" s="1257"/>
      <c r="E84" s="1257"/>
      <c r="F84" s="1257"/>
      <c r="G84" s="1257"/>
      <c r="H84" s="1257"/>
      <c r="I84" s="1257"/>
      <c r="J84" s="1257"/>
      <c r="K84" s="1257"/>
      <c r="L84" s="1420"/>
      <c r="M84" s="1421"/>
      <c r="N84" s="1511"/>
      <c r="O84" s="1511"/>
      <c r="P84" s="1512"/>
      <c r="Q84" s="1513"/>
    </row>
    <row r="85" spans="1:17" s="1010" customFormat="1">
      <c r="A85" s="1256"/>
      <c r="B85" s="1251"/>
      <c r="C85" s="1259"/>
      <c r="D85" s="1248"/>
      <c r="E85" s="1248"/>
      <c r="F85" s="1248"/>
      <c r="G85" s="1248"/>
      <c r="H85" s="1248"/>
      <c r="I85" s="1248"/>
      <c r="J85" s="1248"/>
      <c r="K85" s="1248"/>
      <c r="L85" s="1248"/>
      <c r="M85" s="1290"/>
      <c r="N85" s="1511"/>
      <c r="O85" s="1511"/>
      <c r="P85" s="1512"/>
      <c r="Q85" s="1513"/>
    </row>
    <row r="86" spans="1:17">
      <c r="A86" s="1049"/>
      <c r="B86" s="1253">
        <f>B28</f>
        <v>111</v>
      </c>
      <c r="C86" s="1243"/>
      <c r="D86" s="1243"/>
      <c r="E86" s="1243"/>
      <c r="F86" s="1243"/>
      <c r="G86" s="1273"/>
      <c r="H86" s="1273"/>
      <c r="I86" s="1273"/>
      <c r="J86" s="1273"/>
      <c r="K86" s="1320"/>
      <c r="L86" s="1321"/>
      <c r="M86" s="1322"/>
      <c r="N86" s="1508"/>
      <c r="O86" s="1508"/>
      <c r="P86" s="1509"/>
      <c r="Q86" s="1503"/>
    </row>
    <row r="87" spans="1:17">
      <c r="A87" s="1058"/>
      <c r="B87" s="1263"/>
      <c r="C87" s="1264"/>
      <c r="D87" s="1264"/>
      <c r="E87" s="1264"/>
      <c r="F87" s="1264"/>
      <c r="G87" s="1274"/>
      <c r="H87" s="1274"/>
      <c r="I87" s="1274"/>
      <c r="J87" s="1274"/>
      <c r="K87" s="1274"/>
      <c r="L87" s="1274"/>
      <c r="M87" s="1323"/>
      <c r="N87" s="1510"/>
      <c r="O87" s="1510"/>
      <c r="P87" s="1509"/>
      <c r="Q87" s="1503"/>
    </row>
    <row r="88" spans="1:17" ht="14.4">
      <c r="A88" s="1062" t="s">
        <v>1418</v>
      </c>
      <c r="B88" s="1246" t="s">
        <v>1419</v>
      </c>
      <c r="C88" s="1193"/>
      <c r="D88" s="1193"/>
      <c r="E88" s="1193"/>
      <c r="F88" s="1193"/>
      <c r="G88" s="1193"/>
      <c r="H88" s="1193"/>
      <c r="I88" s="1193"/>
      <c r="J88" s="1193"/>
      <c r="K88" s="1286"/>
      <c r="L88" s="1287"/>
      <c r="M88" s="1288"/>
      <c r="N88" s="1508"/>
      <c r="O88" s="1508"/>
      <c r="P88" s="1509"/>
      <c r="Q88" s="1503"/>
    </row>
    <row r="89" spans="1:17">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4.4">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c r="A92" s="1256"/>
      <c r="B92" s="1251"/>
      <c r="C92" s="1259"/>
      <c r="D92" s="1248"/>
      <c r="E92" s="1248"/>
      <c r="F92" s="1248"/>
      <c r="G92" s="1248"/>
      <c r="H92" s="1248"/>
      <c r="I92" s="1248"/>
      <c r="J92" s="1248"/>
      <c r="K92" s="1248"/>
      <c r="L92" s="1248"/>
      <c r="M92" s="1290"/>
      <c r="N92" s="1510"/>
      <c r="O92" s="1510"/>
      <c r="P92" s="1512"/>
      <c r="Q92" s="1513"/>
    </row>
    <row r="93" spans="1:17" ht="14.4">
      <c r="A93" s="1098"/>
      <c r="B93" s="1249" t="s">
        <v>1423</v>
      </c>
      <c r="C93" s="1257"/>
      <c r="D93" s="1257"/>
      <c r="E93" s="1272"/>
      <c r="F93" s="1272"/>
      <c r="G93" s="1272"/>
      <c r="H93" s="1272"/>
      <c r="I93" s="1272"/>
      <c r="J93" s="1272"/>
      <c r="K93" s="1317"/>
      <c r="L93" s="1318"/>
      <c r="M93" s="1319"/>
      <c r="N93" s="1508"/>
      <c r="O93" s="1508"/>
      <c r="P93" s="1509"/>
      <c r="Q93" s="1503"/>
    </row>
    <row r="94" spans="1:17">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ht="14.4">
      <c r="A95" s="1098"/>
      <c r="B95" s="1249" t="s">
        <v>1425</v>
      </c>
      <c r="C95" s="1257"/>
      <c r="D95" s="1257"/>
      <c r="E95" s="1257"/>
      <c r="F95" s="1272"/>
      <c r="G95" s="1272"/>
      <c r="H95" s="1272"/>
      <c r="I95" s="1272"/>
      <c r="J95" s="1272"/>
      <c r="K95" s="1317"/>
      <c r="L95" s="1318"/>
      <c r="M95" s="1319"/>
      <c r="N95" s="1508"/>
      <c r="O95" s="1508"/>
      <c r="P95" s="1509"/>
      <c r="Q95" s="1503"/>
    </row>
    <row r="96" spans="1:17">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ht="14.4">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ht="14.4">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ht="14.4">
      <c r="A102" s="1098"/>
      <c r="B102" s="1249" t="s">
        <v>1431</v>
      </c>
      <c r="C102" s="1257"/>
      <c r="D102" s="1257"/>
      <c r="E102" s="1257"/>
      <c r="F102" s="1257"/>
      <c r="G102" s="1257"/>
      <c r="H102" s="1272"/>
      <c r="I102" s="1272"/>
      <c r="J102" s="1272"/>
      <c r="K102" s="1317"/>
      <c r="L102" s="1318"/>
      <c r="M102" s="1319"/>
      <c r="N102" s="1508"/>
      <c r="O102" s="1508"/>
      <c r="P102" s="1509"/>
      <c r="Q102" s="1503"/>
    </row>
    <row r="103" spans="1:17">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ht="14.4">
      <c r="A104" s="1098"/>
      <c r="B104" s="1249" t="s">
        <v>1434</v>
      </c>
      <c r="C104" s="1257"/>
      <c r="D104" s="1257"/>
      <c r="E104" s="1257"/>
      <c r="F104" s="1257"/>
      <c r="G104" s="1257"/>
      <c r="H104" s="1272"/>
      <c r="I104" s="1272"/>
      <c r="J104" s="1272"/>
      <c r="K104" s="1317"/>
      <c r="L104" s="1318"/>
      <c r="M104" s="1319"/>
      <c r="N104" s="1508"/>
      <c r="O104" s="1508"/>
      <c r="P104" s="1509"/>
      <c r="Q104" s="1503"/>
    </row>
    <row r="105" spans="1:17">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ht="28.8">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6" t="s">
        <v>82</v>
      </c>
    </row>
    <row r="3" spans="1:1" ht="17.399999999999999">
      <c r="A3" s="3137" t="str">
        <f>项目基本情况!B5&amp;"："</f>
        <v>：</v>
      </c>
    </row>
    <row r="4" spans="1:1" ht="17.399999999999999">
      <c r="A4" s="3138" t="str">
        <f>"受贵公司委托，我公司对"&amp;项目基本情况!S1&amp;"进行了预评估。"</f>
        <v>受贵公司委托，我公司对北京市房地产抵押价值进行了预评估。</v>
      </c>
    </row>
    <row r="5" spans="1:1" ht="17.399999999999999">
      <c r="A5" s="3139" t="s">
        <v>83</v>
      </c>
    </row>
    <row r="6" spans="1:1" ht="17.399999999999999">
      <c r="A6" s="3140" t="s">
        <v>84</v>
      </c>
    </row>
    <row r="7" spans="1:1" ht="52.2">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估价对象为北京市房地产，为所有。根据《国有土地使用证》[]，估价对象（分摊）出让国有建设用地使用权面积为0平方米，建筑面积为119.41平方米。</v>
      </c>
    </row>
    <row r="8" spans="1:1" ht="54.6">
      <c r="A8" s="3141" t="s">
        <v>85</v>
      </c>
    </row>
    <row r="9" spans="1:1" ht="17.399999999999999">
      <c r="A9" s="3140" t="s">
        <v>86</v>
      </c>
    </row>
    <row r="10" spans="1:1" ht="52.2">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估价对象为北京市房地产,属开发建设的办公项目，该项目尚在开发建设中。根据《国有土地使用证》[]，估价对象（分摊）出让国有建设用地使用权面积为0平方米，规划建筑面积为119.41平方米。</v>
      </c>
    </row>
    <row r="11" spans="1:1" ht="72">
      <c r="A11" s="3141" t="s">
        <v>87</v>
      </c>
    </row>
    <row r="12" spans="1:1" ht="17.399999999999999">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7" t="s">
        <v>89</v>
      </c>
    </row>
    <row r="15" spans="1:1" ht="17.399999999999999">
      <c r="A15" s="3142" t="str">
        <f>TEXT(项目基本情况!D3,"yyyy年m月d日;;")&amp;IF(项目基本情况!D3=项目基本情况!B3,"（评估专业人员实地查勘之日）","")</f>
        <v>2025年10月28日（评估专业人员实地查勘之日）</v>
      </c>
    </row>
    <row r="16" spans="1:1" ht="17.399999999999999">
      <c r="A16" s="3137" t="s">
        <v>90</v>
      </c>
    </row>
    <row r="17" spans="1:1" ht="69.599999999999994">
      <c r="A17" s="3138" t="s">
        <v>91</v>
      </c>
    </row>
    <row r="18" spans="1:1" ht="69.59999999999999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7" t="s">
        <v>92</v>
      </c>
    </row>
    <row r="24" spans="1:1" ht="17.399999999999999">
      <c r="A24" s="3112" t="str">
        <f>"本次评估采用的主估价方法为"&amp;结果表!K4&amp;"和"&amp;结果表!L4&amp;"。"</f>
        <v>本次评估采用的主估价方法为比较法和收益法。</v>
      </c>
    </row>
    <row r="25" spans="1:1" ht="17.399999999999999">
      <c r="A25" s="3112"/>
    </row>
    <row r="26" spans="1:1" ht="17.399999999999999">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4.4">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4.4">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ht="14.4">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8.8">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30">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4.4">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4.4">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4.4">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6">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4.4">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4.4">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4.4">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ht="14.4">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8.8">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ht="14.4">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4.4">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4.4">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4.4">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4.4">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8.8">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4.4">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ht="14.4">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ht="14.4">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ht="14.4">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ht="14.4">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ht="14.4">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ht="14.4">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4.4">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4.4">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ht="14.4">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8.8">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30">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4.4">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4.4">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4.4">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4.4">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4.4">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4.4">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ht="14.4">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8.8">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ht="14.4">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8.8">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4.4">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4.4">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4.4">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ht="14.4">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4.4">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ht="14.4">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ht="14.4">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ht="14.4">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ht="14.4">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4.4">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4.4">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ht="14.4">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28.8">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8.8">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8.8">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6">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4.4">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4.4">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4.4">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119.41</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3.2">
      <c r="A65" s="1153" t="s">
        <v>1691</v>
      </c>
      <c r="B65" s="1154" t="s">
        <v>1692</v>
      </c>
      <c r="C65" s="1154" t="s">
        <v>1692</v>
      </c>
      <c r="D65" s="1154" t="s">
        <v>1692</v>
      </c>
      <c r="E65" s="1154">
        <f>IF(B46="楼面地价",SUM(E56:E64),'数据-汇总表'!D3)</f>
        <v>119.41</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6">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4.4">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4.4">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4.4">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ht="14.4">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8.8">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4.4">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ht="14.4">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4.4">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4.4">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4.4">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28.8">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8.8">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4.4">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4.4">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4.4">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8.8">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4.4">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14.4">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ht="14.4">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ht="14.4">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ht="14.4">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ht="14.4">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4.4">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4.4">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4.4">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ht="14.4">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69">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96.6">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28.8">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82.8">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1.4">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41.4">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8.8">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4.4">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4.4">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4.4">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119.41</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6">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4.4">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4.4">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4.4">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ht="14.4">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8.8">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4.4">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ht="14.4">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4.4">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28.8">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8.8">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4.4">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4.4">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4.4">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8.8">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4.4">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ht="14.4">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ht="14.4">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ht="14.4">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ht="14.4">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9.6">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6">
      <c r="A20" s="944" t="s">
        <v>1716</v>
      </c>
      <c r="B20" s="945">
        <f ca="1">IF(D20="——",S22,S22-F20)</f>
        <v>395</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1717</v>
      </c>
      <c r="B21" s="945">
        <f ca="1">ROUND(B20*10000/B22,0)</f>
        <v>17157</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230.23</v>
      </c>
      <c r="C22" s="3457" t="s">
        <v>124</v>
      </c>
      <c r="D22" s="3458"/>
      <c r="E22" s="3458"/>
      <c r="F22" s="3458"/>
      <c r="G22" s="3458"/>
      <c r="H22" s="3458"/>
      <c r="I22" s="3458"/>
      <c r="J22" s="3458"/>
      <c r="K22" s="3458"/>
      <c r="L22" s="3458"/>
      <c r="M22" s="3458"/>
      <c r="N22" s="3458"/>
      <c r="O22" s="3458"/>
      <c r="P22" s="3458"/>
      <c r="Q22" s="3459"/>
      <c r="R22" s="950">
        <f ca="1">ROUND(S22*10000/B22,0)</f>
        <v>17157</v>
      </c>
      <c r="S22" s="950">
        <f ca="1">SUM(S24:S10000)</f>
        <v>395</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119.41</v>
      </c>
      <c r="C24" s="955">
        <v>1</v>
      </c>
      <c r="D24" s="956"/>
      <c r="E24" s="955">
        <v>1</v>
      </c>
      <c r="F24" s="956"/>
      <c r="G24" s="955">
        <v>1</v>
      </c>
      <c r="H24" s="956"/>
      <c r="I24" s="955">
        <v>1</v>
      </c>
      <c r="J24" s="956"/>
      <c r="K24" s="955">
        <v>1</v>
      </c>
      <c r="L24" s="956"/>
      <c r="M24" s="955">
        <v>1</v>
      </c>
      <c r="N24" s="956"/>
      <c r="O24" s="955">
        <v>1</v>
      </c>
      <c r="P24" s="956"/>
      <c r="Q24" s="955">
        <v>1</v>
      </c>
      <c r="R24" s="954">
        <f ca="1">结果表!C32</f>
        <v>17127</v>
      </c>
      <c r="S24" s="1005">
        <f t="shared" ref="S24:S54" ca="1" si="11">ROUND(R24*B24/10000,0)</f>
        <v>205</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17127</v>
      </c>
      <c r="S25" s="949">
        <f t="shared" ca="1" si="11"/>
        <v>190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1722</v>
      </c>
      <c r="B1" s="681"/>
      <c r="C1" s="681"/>
      <c r="D1" s="681"/>
      <c r="E1" s="681"/>
      <c r="F1" s="882"/>
      <c r="G1" s="882"/>
      <c r="H1" s="882"/>
      <c r="I1" s="882"/>
      <c r="J1" s="882"/>
      <c r="K1" s="882"/>
      <c r="L1" s="882"/>
      <c r="M1" s="882"/>
      <c r="N1" s="882"/>
      <c r="O1" s="882"/>
      <c r="P1" s="882"/>
    </row>
    <row r="2" spans="1:16" ht="15.6">
      <c r="A2" s="883" t="s">
        <v>97</v>
      </c>
      <c r="B2" s="884" t="e">
        <f ca="1">SUMIF(B6:B13,"&lt;&gt;#ref!",B6:B13)</f>
        <v>#DIV/0!</v>
      </c>
      <c r="C2" s="883" t="s">
        <v>1723</v>
      </c>
      <c r="D2" s="883" t="s">
        <v>1724</v>
      </c>
      <c r="E2" s="885">
        <f ca="1">SUMIF(E6:E13,"&lt;&gt;#ref!",E6:E13)</f>
        <v>119.41</v>
      </c>
      <c r="F2" s="882"/>
      <c r="G2" s="882"/>
      <c r="H2" s="882"/>
      <c r="I2" s="882"/>
      <c r="J2" s="882"/>
      <c r="K2" s="882"/>
      <c r="L2" s="882"/>
      <c r="M2" s="882"/>
      <c r="N2" s="882"/>
      <c r="O2" s="882"/>
      <c r="P2" s="882"/>
    </row>
    <row r="3" spans="1:16" ht="15.6">
      <c r="A3" s="883" t="s">
        <v>1725</v>
      </c>
      <c r="B3" s="884" t="e">
        <f ca="1">ROUND(B2*10000/E2,0)</f>
        <v>#DIV/0!</v>
      </c>
      <c r="C3" s="883" t="s">
        <v>1726</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1727</v>
      </c>
      <c r="B5" s="888" t="s">
        <v>1728</v>
      </c>
      <c r="C5" s="889"/>
      <c r="D5" s="882"/>
      <c r="E5" s="890" t="s">
        <v>1729</v>
      </c>
      <c r="F5" s="882"/>
      <c r="G5" s="882"/>
      <c r="H5" s="882"/>
      <c r="I5" s="882"/>
      <c r="J5" s="882"/>
      <c r="K5" s="882"/>
      <c r="L5" s="882"/>
      <c r="M5" s="882"/>
      <c r="N5" s="882"/>
      <c r="O5" s="882"/>
      <c r="P5" s="882"/>
    </row>
    <row r="6" spans="1:16" ht="15.6">
      <c r="A6" s="891" t="s">
        <v>1730</v>
      </c>
      <c r="B6" s="884" t="e">
        <f ca="1">SUMIF(INDIRECT("'"&amp;A6&amp;"'"&amp;"!A:A"),"总价",INDIRECT("'"&amp;A6&amp;"'"&amp;"!B:B"))</f>
        <v>#DIV/0!</v>
      </c>
      <c r="C6" s="883" t="s">
        <v>1723</v>
      </c>
      <c r="D6" s="882"/>
      <c r="E6" s="885">
        <f ca="1">SUMIF(INDIRECT("'"&amp;A6&amp;"'"&amp;"!C:C"),"建筑面积",INDIRECT("'"&amp;A6&amp;"'"&amp;"!D:D"))</f>
        <v>119.41</v>
      </c>
      <c r="F6" s="882"/>
      <c r="G6" s="882"/>
      <c r="H6" s="882"/>
      <c r="I6" s="882"/>
      <c r="J6" s="882"/>
      <c r="K6" s="882"/>
      <c r="L6" s="882"/>
      <c r="M6" s="882"/>
      <c r="N6" s="882"/>
      <c r="O6" s="882"/>
      <c r="P6" s="882"/>
    </row>
    <row r="7" spans="1:16" ht="15.6">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6">
      <c r="A9" s="891"/>
      <c r="B9" s="884" t="e">
        <f t="shared" ca="1" si="1"/>
        <v>#REF!</v>
      </c>
      <c r="C9" s="883" t="s">
        <v>1723</v>
      </c>
      <c r="D9" s="882"/>
      <c r="E9" s="885" t="e">
        <f t="shared" ca="1" si="0"/>
        <v>#REF!</v>
      </c>
      <c r="F9" s="882"/>
      <c r="G9" s="882"/>
      <c r="H9" s="882"/>
      <c r="I9" s="882"/>
      <c r="J9" s="882"/>
      <c r="K9" s="882"/>
      <c r="L9" s="882"/>
      <c r="M9" s="882"/>
      <c r="N9" s="882"/>
      <c r="O9" s="882"/>
      <c r="P9" s="882"/>
    </row>
    <row r="10" spans="1:16" ht="15.6">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workbookViewId="0">
      <selection activeCell="E33" sqref="E33"/>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0" width="12" style="507"/>
    <col min="21" max="21" width="13.88671875" style="507" bestFit="1" customWidth="1"/>
    <col min="22"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1731</v>
      </c>
      <c r="B1" s="340"/>
      <c r="C1" s="343" t="s">
        <v>1377</v>
      </c>
      <c r="D1" s="510">
        <f>SUM(D33:D34,D37:D42)</f>
        <v>119.41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6">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6">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6">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119.41</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6.4">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5.2">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24">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24">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ht="24">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6.4">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1854</v>
      </c>
      <c r="C33" s="651" t="e">
        <f>ROUND(C5*C22*C23*C24*C25*C28,0)</f>
        <v>#DIV/0!</v>
      </c>
      <c r="D33" s="652">
        <f>'数据-汇总表'!F19</f>
        <v>119.41</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5.2">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24">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48">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7.200000000000003">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36">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36">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4.4">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24">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48">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7.200000000000003">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36">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36">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4.4">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24">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48">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3.8">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36">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36">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36">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4.4">
      <c r="A81" s="683" t="s">
        <v>1902</v>
      </c>
      <c r="B81" s="684">
        <f>1+E83</f>
        <v>1</v>
      </c>
      <c r="C81" s="686"/>
      <c r="D81" s="686"/>
      <c r="E81" s="687"/>
      <c r="F81" s="688"/>
      <c r="G81" s="682"/>
      <c r="H81" s="682"/>
      <c r="I81" s="682"/>
      <c r="J81" s="681"/>
      <c r="K81" s="681"/>
      <c r="L81" s="681"/>
      <c r="M81" s="681"/>
      <c r="N81" s="681"/>
      <c r="Z81" s="507"/>
      <c r="AA81" s="505"/>
      <c r="AG81" s="509"/>
      <c r="AK81" s="505"/>
    </row>
    <row r="82" spans="1:37" ht="25.2">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9.6">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52.8">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48">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3.8">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6.4">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6.4">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36">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9.6">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3.8">
      <c r="A91" s="832" t="s">
        <v>231</v>
      </c>
      <c r="B91" s="833">
        <f>1+E93</f>
        <v>1</v>
      </c>
      <c r="C91" s="834"/>
      <c r="D91" s="835"/>
      <c r="E91" s="697"/>
      <c r="F91" s="697"/>
      <c r="G91" s="836"/>
      <c r="H91" s="837"/>
      <c r="I91" s="870"/>
      <c r="J91" s="871"/>
      <c r="K91" s="871"/>
      <c r="L91" s="871"/>
      <c r="M91" s="871"/>
      <c r="N91" s="871"/>
    </row>
    <row r="92" spans="1:37" ht="25.2">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24">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48">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7.200000000000003">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36">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36">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4.4">
      <c r="A74" s="465"/>
      <c r="B74" s="465"/>
      <c r="C74" s="465" t="s">
        <v>1979</v>
      </c>
      <c r="D74" s="465"/>
      <c r="E74" s="465" t="s">
        <v>124</v>
      </c>
      <c r="F74" s="465" t="s">
        <v>124</v>
      </c>
    </row>
    <row r="75" spans="1:7" ht="14.4">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4.4">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24">
      <c r="A87" s="465">
        <v>13</v>
      </c>
      <c r="B87" s="3489"/>
      <c r="C87" s="454" t="s">
        <v>2005</v>
      </c>
      <c r="D87" s="454" t="s">
        <v>2006</v>
      </c>
      <c r="E87" s="465">
        <v>0.1</v>
      </c>
      <c r="F87" s="465">
        <v>15</v>
      </c>
    </row>
    <row r="88" spans="1:6" ht="24">
      <c r="A88" s="465">
        <v>14</v>
      </c>
      <c r="B88" s="3489"/>
      <c r="C88" s="454" t="s">
        <v>2007</v>
      </c>
      <c r="D88" s="454" t="s">
        <v>2008</v>
      </c>
      <c r="E88" s="465">
        <v>0.1</v>
      </c>
      <c r="F88" s="465">
        <v>15</v>
      </c>
    </row>
    <row r="89" spans="1:6" ht="24">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4.4">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4.4">
      <c r="A94" s="465">
        <v>20</v>
      </c>
      <c r="B94" s="3489"/>
      <c r="C94" s="454" t="s">
        <v>2020</v>
      </c>
      <c r="D94" s="454" t="s">
        <v>2021</v>
      </c>
      <c r="E94" s="465">
        <v>0.15</v>
      </c>
      <c r="F94" s="465">
        <v>20</v>
      </c>
    </row>
    <row r="95" spans="1:6" ht="24">
      <c r="A95" s="465">
        <v>21</v>
      </c>
      <c r="B95" s="3489"/>
      <c r="C95" s="454" t="s">
        <v>2022</v>
      </c>
      <c r="D95" s="454" t="s">
        <v>2023</v>
      </c>
      <c r="E95" s="465">
        <v>0.15</v>
      </c>
      <c r="F95" s="465">
        <v>20</v>
      </c>
    </row>
    <row r="96" spans="1:6" ht="24">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24">
      <c r="A98" s="465">
        <v>24</v>
      </c>
      <c r="B98" s="3489"/>
      <c r="C98" s="454" t="s">
        <v>2028</v>
      </c>
      <c r="D98" s="454" t="s">
        <v>2029</v>
      </c>
      <c r="E98" s="465">
        <v>0.1</v>
      </c>
      <c r="F98" s="465">
        <v>15</v>
      </c>
    </row>
    <row r="99" spans="1:6" ht="24">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24">
      <c r="A102" s="465">
        <v>28</v>
      </c>
      <c r="B102" s="3489"/>
      <c r="C102" s="454" t="s">
        <v>2036</v>
      </c>
      <c r="D102" s="454" t="s">
        <v>2037</v>
      </c>
      <c r="E102" s="465">
        <v>0.1</v>
      </c>
      <c r="F102" s="465">
        <v>15</v>
      </c>
    </row>
    <row r="103" spans="1:6" ht="24">
      <c r="A103" s="465">
        <v>29</v>
      </c>
      <c r="B103" s="3489"/>
      <c r="C103" s="454" t="s">
        <v>2038</v>
      </c>
      <c r="D103" s="454" t="s">
        <v>2039</v>
      </c>
      <c r="E103" s="465">
        <v>0.1</v>
      </c>
      <c r="F103" s="465">
        <v>15</v>
      </c>
    </row>
    <row r="104" spans="1:6" ht="24">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36">
      <c r="A109" s="465">
        <v>35</v>
      </c>
      <c r="B109" s="3490" t="s">
        <v>2050</v>
      </c>
      <c r="C109" s="465" t="s">
        <v>2051</v>
      </c>
      <c r="D109" s="454" t="s">
        <v>2052</v>
      </c>
      <c r="E109" s="465">
        <v>0.15</v>
      </c>
      <c r="F109" s="465">
        <v>20</v>
      </c>
    </row>
    <row r="110" spans="1:6" ht="24">
      <c r="A110" s="465">
        <v>36</v>
      </c>
      <c r="B110" s="3489"/>
      <c r="C110" s="465" t="s">
        <v>2053</v>
      </c>
      <c r="D110" s="454" t="s">
        <v>2054</v>
      </c>
      <c r="E110" s="465">
        <v>0.15</v>
      </c>
      <c r="F110" s="465">
        <v>20</v>
      </c>
    </row>
    <row r="111" spans="1:6" ht="24">
      <c r="A111" s="465">
        <v>37</v>
      </c>
      <c r="B111" s="3489"/>
      <c r="C111" s="465" t="s">
        <v>2055</v>
      </c>
      <c r="D111" s="454" t="s">
        <v>2056</v>
      </c>
      <c r="E111" s="465">
        <v>0.15</v>
      </c>
      <c r="F111" s="465">
        <v>20</v>
      </c>
    </row>
    <row r="112" spans="1:6" ht="24">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24">
      <c r="A115" s="465">
        <v>41</v>
      </c>
      <c r="B115" s="3486" t="s">
        <v>2063</v>
      </c>
      <c r="C115" s="465" t="s">
        <v>2064</v>
      </c>
      <c r="D115" s="454" t="s">
        <v>2065</v>
      </c>
      <c r="E115" s="465">
        <v>0.1</v>
      </c>
      <c r="F115" s="465">
        <v>15</v>
      </c>
    </row>
    <row r="116" spans="1:6" ht="24">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24">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24">
      <c r="A122" s="465">
        <v>48</v>
      </c>
      <c r="B122" s="3490" t="s">
        <v>2080</v>
      </c>
      <c r="C122" s="465" t="s">
        <v>2081</v>
      </c>
      <c r="D122" s="454" t="s">
        <v>2082</v>
      </c>
      <c r="E122" s="465">
        <v>0.1</v>
      </c>
      <c r="F122" s="465">
        <v>15</v>
      </c>
    </row>
    <row r="123" spans="1:6" ht="24">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24">
      <c r="A128" s="465">
        <v>54</v>
      </c>
      <c r="B128" s="465" t="s">
        <v>2095</v>
      </c>
      <c r="C128" s="465" t="s">
        <v>2096</v>
      </c>
      <c r="D128" s="454" t="s">
        <v>2097</v>
      </c>
      <c r="E128" s="465">
        <v>0.1</v>
      </c>
      <c r="F128" s="465">
        <v>15</v>
      </c>
    </row>
    <row r="129" spans="1:6" ht="24">
      <c r="A129" s="465">
        <v>55</v>
      </c>
      <c r="B129" s="3486" t="s">
        <v>2098</v>
      </c>
      <c r="C129" s="465" t="s">
        <v>2099</v>
      </c>
      <c r="D129" s="454" t="s">
        <v>2100</v>
      </c>
      <c r="E129" s="465">
        <v>0.1</v>
      </c>
      <c r="F129" s="465">
        <v>15</v>
      </c>
    </row>
    <row r="130" spans="1:6" ht="24">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24">
      <c r="A133" s="465">
        <v>59</v>
      </c>
      <c r="B133" s="3486"/>
      <c r="C133" s="465" t="s">
        <v>2108</v>
      </c>
      <c r="D133" s="454" t="s">
        <v>2109</v>
      </c>
      <c r="E133" s="465">
        <v>0.1</v>
      </c>
      <c r="F133" s="465">
        <v>15</v>
      </c>
    </row>
    <row r="134" spans="1:6" ht="24">
      <c r="A134" s="465">
        <v>60</v>
      </c>
      <c r="B134" s="3490" t="s">
        <v>2110</v>
      </c>
      <c r="C134" s="465" t="s">
        <v>2111</v>
      </c>
      <c r="D134" s="454" t="s">
        <v>2112</v>
      </c>
      <c r="E134" s="465">
        <v>0.1</v>
      </c>
      <c r="F134" s="465">
        <v>15</v>
      </c>
    </row>
    <row r="135" spans="1:6" ht="24">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24">
      <c r="A137" s="465">
        <v>63</v>
      </c>
      <c r="B137" s="3486" t="s">
        <v>2118</v>
      </c>
      <c r="C137" s="465" t="s">
        <v>2119</v>
      </c>
      <c r="D137" s="454" t="s">
        <v>2120</v>
      </c>
      <c r="E137" s="465">
        <v>0.1</v>
      </c>
      <c r="F137" s="465">
        <v>15</v>
      </c>
    </row>
    <row r="138" spans="1:6" ht="24">
      <c r="A138" s="465">
        <v>64</v>
      </c>
      <c r="B138" s="3486"/>
      <c r="C138" s="465" t="s">
        <v>2121</v>
      </c>
      <c r="D138" s="454" t="s">
        <v>2122</v>
      </c>
      <c r="E138" s="465">
        <v>0.1</v>
      </c>
      <c r="F138" s="465">
        <v>15</v>
      </c>
    </row>
    <row r="139" spans="1:6" ht="24">
      <c r="A139" s="465">
        <v>65</v>
      </c>
      <c r="B139" s="465" t="s">
        <v>2123</v>
      </c>
      <c r="C139" s="465" t="s">
        <v>2124</v>
      </c>
      <c r="D139" s="454" t="s">
        <v>2125</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2138</v>
      </c>
      <c r="B1" s="340"/>
      <c r="C1" s="341"/>
      <c r="D1" s="341"/>
      <c r="E1" s="341"/>
      <c r="F1" s="341"/>
      <c r="G1" s="342"/>
    </row>
    <row r="2" spans="1:7" s="331" customFormat="1" ht="18" customHeight="1">
      <c r="A2" s="343" t="s">
        <v>2139</v>
      </c>
      <c r="B2" s="344">
        <f ca="1">C52</f>
        <v>27957</v>
      </c>
      <c r="C2" s="345" t="s">
        <v>1470</v>
      </c>
      <c r="D2" s="342"/>
      <c r="E2" s="342"/>
      <c r="F2" s="342"/>
      <c r="G2" s="342"/>
    </row>
    <row r="3" spans="1:7" s="331" customFormat="1" ht="18" customHeight="1">
      <c r="A3" s="346" t="s">
        <v>2140</v>
      </c>
      <c r="B3" s="347">
        <f ca="1">ROUND(B2*10000/'数据-汇总表'!E3,0)</f>
        <v>2341261</v>
      </c>
      <c r="C3" s="345" t="s">
        <v>1649</v>
      </c>
      <c r="D3" s="342"/>
      <c r="E3" s="342"/>
      <c r="F3" s="342"/>
      <c r="G3" s="342"/>
    </row>
    <row r="4" spans="1:7" s="332" customFormat="1" ht="16.2">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119.41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119.41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6.4">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27890</v>
      </c>
      <c r="D31" s="399"/>
      <c r="E31" s="353"/>
      <c r="F31" s="400"/>
      <c r="G31" s="381" t="s">
        <v>2185</v>
      </c>
    </row>
    <row r="32" spans="1:7" s="332" customFormat="1" ht="16.2">
      <c r="A32" s="401" t="s">
        <v>2186</v>
      </c>
      <c r="B32" s="402"/>
      <c r="C32" s="402"/>
      <c r="D32" s="402"/>
      <c r="E32" s="402"/>
      <c r="F32" s="402"/>
      <c r="G32" s="403"/>
    </row>
    <row r="33" spans="1:7" s="333" customFormat="1" ht="13.5" customHeight="1">
      <c r="A33" s="351" t="s">
        <v>1034</v>
      </c>
      <c r="B33" s="352" t="s">
        <v>2187</v>
      </c>
      <c r="C33" s="404">
        <f>SUM(C34:C38)</f>
        <v>60</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54</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119.41</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9</v>
      </c>
      <c r="D45" s="379">
        <f>C47</f>
        <v>3.0000000000000001E-3</v>
      </c>
      <c r="E45" s="380" t="s">
        <v>2197</v>
      </c>
      <c r="F45" s="394"/>
      <c r="G45" s="395" t="s">
        <v>2200</v>
      </c>
    </row>
    <row r="46" spans="1:7" s="333" customFormat="1" ht="13.5" customHeight="1">
      <c r="A46" s="384" t="s">
        <v>1038</v>
      </c>
      <c r="B46" s="396" t="s">
        <v>2201</v>
      </c>
      <c r="C46" s="397">
        <f>ROUND((C33+C39)*F27,0)</f>
        <v>9</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79</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67</v>
      </c>
      <c r="D51" s="376"/>
      <c r="E51" s="376"/>
      <c r="F51" s="411"/>
      <c r="G51" s="381" t="s">
        <v>2212</v>
      </c>
    </row>
    <row r="52" spans="1:7" s="332" customFormat="1" ht="16.2">
      <c r="A52" s="412" t="s">
        <v>2213</v>
      </c>
      <c r="B52" s="413"/>
      <c r="C52" s="414">
        <f ca="1">C31+C51</f>
        <v>27957</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6" customWidth="1"/>
    <col min="2" max="2" width="37.21875" style="3116" customWidth="1"/>
    <col min="3" max="3" width="11.33203125" style="3116" customWidth="1"/>
    <col min="4" max="4" width="31.77734375" style="3116" customWidth="1"/>
    <col min="5" max="5" width="0.44140625" style="3116" customWidth="1"/>
    <col min="6" max="7" width="13" style="3116" customWidth="1"/>
    <col min="8" max="16384" width="9" style="3116"/>
  </cols>
  <sheetData>
    <row r="1" spans="1:5" ht="17.399999999999999">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18"/>
      <c r="B4" s="3183" t="s">
        <v>95</v>
      </c>
      <c r="C4" s="3183"/>
      <c r="D4" s="3183"/>
      <c r="E4" s="3118"/>
    </row>
    <row r="5" spans="1:5" ht="15.6">
      <c r="B5" s="3175" t="s">
        <v>96</v>
      </c>
      <c r="C5" s="3119" t="s">
        <v>97</v>
      </c>
      <c r="D5" s="3120">
        <f ca="1">结果表!H101</f>
        <v>205</v>
      </c>
    </row>
    <row r="6" spans="1:5" ht="15.6">
      <c r="B6" s="3175"/>
      <c r="C6" s="3119" t="s">
        <v>98</v>
      </c>
      <c r="D6" s="3120" t="str">
        <f ca="1">NUMBERSTRING(INT(D5*10000),2)&amp;"元整"</f>
        <v>贰佰零伍万元整</v>
      </c>
    </row>
    <row r="7" spans="1:5" ht="15.6">
      <c r="B7" s="3176"/>
      <c r="C7" s="3121" t="s">
        <v>99</v>
      </c>
      <c r="D7" s="3122">
        <f ca="1">结果表!H102</f>
        <v>17127</v>
      </c>
    </row>
    <row r="8" spans="1:5" ht="15.6">
      <c r="B8" s="3177" t="str">
        <f>结果表!E103</f>
        <v>2.估价师知悉的法定优先受偿款</v>
      </c>
      <c r="C8" s="3123" t="s">
        <v>100</v>
      </c>
      <c r="D8" s="3122">
        <f>结果表!H103</f>
        <v>0</v>
      </c>
    </row>
    <row r="9" spans="1:5" ht="15.6">
      <c r="B9" s="3179"/>
      <c r="C9" s="3119" t="s">
        <v>98</v>
      </c>
      <c r="D9" s="3120" t="str">
        <f>NUMBERSTRING(INT(D8*10000),2)&amp;"元整"</f>
        <v>零元整</v>
      </c>
    </row>
    <row r="10" spans="1:5" ht="15.6">
      <c r="B10" s="3124" t="s">
        <v>101</v>
      </c>
      <c r="C10" s="3125" t="s">
        <v>102</v>
      </c>
      <c r="D10" s="3126">
        <f>结果表!H104</f>
        <v>0</v>
      </c>
    </row>
    <row r="11" spans="1:5" ht="15.6">
      <c r="B11" s="3124" t="s">
        <v>103</v>
      </c>
      <c r="C11" s="3125" t="s">
        <v>102</v>
      </c>
      <c r="D11" s="3126">
        <f>结果表!H105</f>
        <v>0</v>
      </c>
    </row>
    <row r="12" spans="1:5" ht="15.6">
      <c r="B12" s="3124" t="s">
        <v>104</v>
      </c>
      <c r="C12" s="3125" t="s">
        <v>102</v>
      </c>
      <c r="D12" s="3126">
        <f>结果表!H106</f>
        <v>0</v>
      </c>
    </row>
    <row r="13" spans="1:5" ht="15.6">
      <c r="B13" s="3174" t="str">
        <f>结果表!E107</f>
        <v>3.房地产抵押价值</v>
      </c>
      <c r="C13" s="3127" t="s">
        <v>97</v>
      </c>
      <c r="D13" s="3128">
        <f ca="1">结果表!H107</f>
        <v>205</v>
      </c>
    </row>
    <row r="14" spans="1:5" ht="15.6">
      <c r="B14" s="3175"/>
      <c r="C14" s="3119" t="s">
        <v>98</v>
      </c>
      <c r="D14" s="3120" t="str">
        <f ca="1">NUMBERSTRING(INT(D13*10000),2)&amp;"元整"</f>
        <v>贰佰零伍万元整</v>
      </c>
    </row>
    <row r="15" spans="1:5" ht="15.6">
      <c r="B15" s="3176"/>
      <c r="C15" s="3121" t="s">
        <v>99</v>
      </c>
      <c r="D15" s="3129">
        <f ca="1">结果表!H108</f>
        <v>17127</v>
      </c>
    </row>
    <row r="16" spans="1:5" ht="15.6">
      <c r="B16" s="3177" t="str">
        <f>结果表!E109</f>
        <v>——</v>
      </c>
      <c r="C16" s="3127" t="s">
        <v>97</v>
      </c>
      <c r="D16" s="3130" t="str">
        <f>结果表!H109</f>
        <v>——</v>
      </c>
    </row>
    <row r="17" spans="1:5" ht="15.6">
      <c r="B17" s="3178"/>
      <c r="C17" s="3119" t="s">
        <v>98</v>
      </c>
      <c r="D17" s="3120" t="e">
        <f>NUMBERSTRING(INT(D16*10000),2)&amp;"元整"</f>
        <v>#VALUE!</v>
      </c>
    </row>
    <row r="18" spans="1:5" ht="15.6">
      <c r="B18" s="3179"/>
      <c r="C18" s="3121" t="s">
        <v>99</v>
      </c>
      <c r="D18" s="3129" t="str">
        <f>结果表!H110</f>
        <v>——</v>
      </c>
    </row>
    <row r="19" spans="1:5" ht="15.6">
      <c r="B19" s="3174" t="str">
        <f>结果表!E111</f>
        <v>——</v>
      </c>
      <c r="C19" s="3127" t="s">
        <v>97</v>
      </c>
      <c r="D19" s="3122" t="str">
        <f>结果表!H111</f>
        <v>——</v>
      </c>
    </row>
    <row r="20" spans="1:5" ht="15.6">
      <c r="B20" s="3175"/>
      <c r="C20" s="3119" t="s">
        <v>98</v>
      </c>
      <c r="D20" s="3120" t="e">
        <f>NUMBERSTRING(INT(D19*10000),2)&amp;"元整"</f>
        <v>#VALUE!</v>
      </c>
    </row>
    <row r="21" spans="1:5" ht="15.6">
      <c r="B21" s="3180"/>
      <c r="C21" s="3131" t="s">
        <v>99</v>
      </c>
      <c r="D21" s="3132" t="str">
        <f>结果表!H112</f>
        <v>——</v>
      </c>
    </row>
    <row r="22" spans="1:5">
      <c r="B22" s="3133" t="s">
        <v>105</v>
      </c>
    </row>
    <row r="24" spans="1:5" ht="17.399999999999999">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3.2">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3.2">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4.4">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4">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A28" sqref="A28"/>
    </sheetView>
  </sheetViews>
  <sheetFormatPr defaultRowHeight="14.4"/>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119.41</v>
      </c>
      <c r="C4" s="3113">
        <f>项目基本情况!C18</f>
        <v>0</v>
      </c>
      <c r="D4" s="3113" t="e">
        <f ca="1">结果表!D118</f>
        <v>#REF!</v>
      </c>
      <c r="E4" s="3113" t="e">
        <f ca="1">结果表!E118</f>
        <v>#REF!</v>
      </c>
      <c r="F4" s="3113" t="e">
        <f ca="1">结果表!F118</f>
        <v>#REF!</v>
      </c>
      <c r="G4" s="3113" t="e">
        <f ca="1">结果表!G118</f>
        <v>#REF!</v>
      </c>
      <c r="H4" s="3113">
        <f ca="1">结果表!H118</f>
        <v>205</v>
      </c>
      <c r="I4" s="3113">
        <f ca="1">结果表!I118</f>
        <v>17127</v>
      </c>
    </row>
    <row r="5" spans="1:9" ht="30" customHeight="1">
      <c r="A5" s="3186" t="s">
        <v>112</v>
      </c>
      <c r="B5" s="3186"/>
      <c r="C5" s="3186"/>
      <c r="D5" s="3186" t="e">
        <f ca="1">结果表!D119</f>
        <v>#REF!</v>
      </c>
      <c r="E5" s="3186"/>
      <c r="F5" s="3186" t="e">
        <f ca="1">结果表!F119</f>
        <v>#REF!</v>
      </c>
      <c r="G5" s="3186"/>
      <c r="H5" s="3186" t="str">
        <f ca="1">结果表!H119</f>
        <v>贰佰零伍万元整</v>
      </c>
      <c r="I5" s="3186"/>
    </row>
    <row r="6" spans="1:9" ht="15.6">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6">
      <c r="A8" s="3187" t="str">
        <f>结果表!A122</f>
        <v>房地产抵押价值</v>
      </c>
      <c r="B8" s="3187"/>
      <c r="C8" s="3187"/>
      <c r="D8" s="3187">
        <f ca="1">结果表!D122</f>
        <v>205</v>
      </c>
      <c r="E8" s="3187"/>
      <c r="F8" s="3187"/>
      <c r="G8" s="3187"/>
      <c r="H8" s="3187"/>
      <c r="I8" s="3187"/>
    </row>
    <row r="9" spans="1:9" ht="15">
      <c r="A9" s="3186" t="s">
        <v>112</v>
      </c>
      <c r="B9" s="3186"/>
      <c r="C9" s="3186"/>
      <c r="D9" s="3186" t="str">
        <f ca="1">结果表!D123</f>
        <v>贰佰零伍万元整</v>
      </c>
      <c r="E9" s="3186"/>
      <c r="F9" s="3186"/>
      <c r="G9" s="3186"/>
      <c r="H9" s="3186"/>
      <c r="I9" s="3186"/>
    </row>
    <row r="10" spans="1:9" ht="15.6">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6">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7.399999999999999">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93" t="s">
        <v>114</v>
      </c>
      <c r="B1" s="3193"/>
      <c r="C1" s="3193"/>
      <c r="D1" s="3193"/>
    </row>
    <row r="2" spans="1:4" ht="17.399999999999999">
      <c r="A2" s="3194" t="s">
        <v>115</v>
      </c>
      <c r="B2" s="3194"/>
      <c r="C2" s="3194"/>
      <c r="D2" s="3194"/>
    </row>
    <row r="3" spans="1:4" ht="17.399999999999999">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7.399999999999999">
      <c r="A6" s="3194" t="s">
        <v>121</v>
      </c>
      <c r="B6" s="3194"/>
      <c r="C6" s="3194"/>
      <c r="D6" s="3194"/>
    </row>
    <row r="7" spans="1:4" ht="17.399999999999999">
      <c r="A7" s="3103" t="s">
        <v>116</v>
      </c>
      <c r="B7" s="3105" t="s">
        <v>122</v>
      </c>
      <c r="C7" s="3103" t="s">
        <v>118</v>
      </c>
      <c r="D7" s="3103" t="s">
        <v>119</v>
      </c>
    </row>
    <row r="8" spans="1:4" ht="56.25" customHeight="1">
      <c r="A8" s="3109" t="s">
        <v>123</v>
      </c>
      <c r="B8" s="3109" t="s">
        <v>124</v>
      </c>
      <c r="C8" s="3106"/>
      <c r="D8" s="3107" t="s">
        <v>120</v>
      </c>
    </row>
    <row r="10" spans="1:4" ht="17.399999999999999">
      <c r="A10" s="3102" t="s">
        <v>125</v>
      </c>
    </row>
    <row r="11" spans="1:4" ht="30" customHeight="1">
      <c r="A11" s="3195" t="s">
        <v>126</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7.399999999999999">
      <c r="A25" s="3111" t="s">
        <v>130</v>
      </c>
    </row>
    <row r="26" spans="1:4" ht="17.399999999999999">
      <c r="A26" s="3112"/>
    </row>
    <row r="27" spans="1:4" ht="17.399999999999999">
      <c r="A27" s="3112" t="s">
        <v>131</v>
      </c>
    </row>
    <row r="30" spans="1:4" ht="17.399999999999999">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9" customWidth="1"/>
    <col min="3" max="10" width="12.44140625" style="3099" customWidth="1"/>
    <col min="11" max="16384" width="9" style="3099"/>
  </cols>
  <sheetData>
    <row r="1" spans="1:1" ht="17.399999999999999">
      <c r="A1" s="3100" t="s">
        <v>133</v>
      </c>
    </row>
    <row r="2" spans="1:1" ht="17.399999999999999">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3" customWidth="1"/>
  </cols>
  <sheetData>
    <row r="1" spans="1:7" s="3082" customFormat="1" ht="17.399999999999999">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4.4">
      <c r="A15" s="3204" t="s">
        <v>146</v>
      </c>
      <c r="B15" s="3209" t="s">
        <v>147</v>
      </c>
      <c r="C15" s="3203"/>
    </row>
    <row r="16" spans="1:7" ht="14.4">
      <c r="A16" s="3205"/>
      <c r="B16" s="3209" t="s">
        <v>148</v>
      </c>
      <c r="C16" s="3203"/>
    </row>
    <row r="17" spans="1:3" ht="14.4">
      <c r="A17" s="3205"/>
      <c r="B17" s="3208" t="s">
        <v>149</v>
      </c>
      <c r="C17" s="3092" t="s">
        <v>146</v>
      </c>
    </row>
    <row r="18" spans="1:3" ht="14.4">
      <c r="A18" s="3205"/>
      <c r="B18" s="3208"/>
      <c r="C18" s="3092" t="s">
        <v>150</v>
      </c>
    </row>
    <row r="19" spans="1:3" ht="14.4">
      <c r="A19" s="3205"/>
      <c r="B19" s="3208"/>
      <c r="C19" s="3092" t="s">
        <v>151</v>
      </c>
    </row>
    <row r="20" spans="1:3" ht="14.4">
      <c r="A20" s="3206"/>
      <c r="B20" s="3202" t="s">
        <v>152</v>
      </c>
      <c r="C20" s="3203"/>
    </row>
    <row r="21" spans="1:3" ht="14.4">
      <c r="A21" s="3093" t="s">
        <v>153</v>
      </c>
      <c r="B21" s="3094"/>
      <c r="C21" s="3095"/>
    </row>
    <row r="22" spans="1:3" ht="14.4">
      <c r="A22" s="3207" t="s">
        <v>154</v>
      </c>
      <c r="B22" s="3202" t="s">
        <v>155</v>
      </c>
      <c r="C22" s="3203"/>
    </row>
    <row r="23" spans="1:3" ht="14.4">
      <c r="A23" s="3207"/>
      <c r="B23" s="3202" t="s">
        <v>156</v>
      </c>
      <c r="C23" s="3203"/>
    </row>
    <row r="24" spans="1:3" ht="14.4">
      <c r="A24" s="3207"/>
      <c r="B24" s="3202" t="s">
        <v>157</v>
      </c>
      <c r="C24" s="3203"/>
    </row>
    <row r="25" spans="1:3" ht="14.4">
      <c r="A25" s="3207"/>
      <c r="B25" s="3208" t="s">
        <v>158</v>
      </c>
      <c r="C25" s="3092" t="s">
        <v>159</v>
      </c>
    </row>
    <row r="26" spans="1:3" ht="14.4">
      <c r="A26" s="3207"/>
      <c r="B26" s="3208"/>
      <c r="C26" s="3092" t="s">
        <v>160</v>
      </c>
    </row>
    <row r="27" spans="1:3" ht="14.4">
      <c r="A27" s="3207"/>
      <c r="B27" s="3208"/>
      <c r="C27" s="3092" t="s">
        <v>161</v>
      </c>
    </row>
    <row r="28" spans="1:3" ht="14.4">
      <c r="A28" s="3207"/>
      <c r="B28" s="3208"/>
      <c r="C28" s="3092" t="s">
        <v>162</v>
      </c>
    </row>
    <row r="29" spans="1:3" ht="14.4">
      <c r="A29" s="3207"/>
      <c r="B29" s="3208"/>
      <c r="C29" s="3092" t="s">
        <v>163</v>
      </c>
    </row>
    <row r="30" spans="1:3" ht="14.4">
      <c r="A30" s="3207"/>
      <c r="B30" s="3208"/>
      <c r="C30" s="3092" t="s">
        <v>164</v>
      </c>
    </row>
    <row r="31" spans="1:3" ht="14.4">
      <c r="A31" s="3207"/>
      <c r="B31" s="3208"/>
      <c r="C31" s="3092" t="s">
        <v>165</v>
      </c>
    </row>
    <row r="32" spans="1:3" ht="14.4">
      <c r="A32" s="3207"/>
      <c r="B32" s="3208"/>
      <c r="C32" s="3092" t="s">
        <v>166</v>
      </c>
    </row>
    <row r="33" spans="1:3" ht="14.4">
      <c r="A33" s="3207"/>
      <c r="B33" s="3208"/>
      <c r="C33" s="3092" t="s">
        <v>167</v>
      </c>
    </row>
    <row r="34" spans="1:3">
      <c r="A34" s="3096" t="s">
        <v>168</v>
      </c>
    </row>
    <row r="37" spans="1:3">
      <c r="A37" s="3096" t="s">
        <v>169</v>
      </c>
    </row>
    <row r="38" spans="1:3" ht="14.4">
      <c r="A38" s="3097" t="s">
        <v>170</v>
      </c>
    </row>
    <row r="39" spans="1:3" ht="14.4">
      <c r="A39" s="3097" t="s">
        <v>171</v>
      </c>
    </row>
    <row r="40" spans="1:3" ht="14.4">
      <c r="A40" s="3097" t="s">
        <v>172</v>
      </c>
    </row>
    <row r="41" spans="1:3" ht="14.4">
      <c r="A41" s="3098" t="s">
        <v>173</v>
      </c>
    </row>
    <row r="42" spans="1:3" ht="14.4">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6"/>
      <c r="B1" s="3056"/>
      <c r="C1" s="3056"/>
      <c r="D1" s="3056"/>
      <c r="E1" s="3056"/>
      <c r="F1" s="3056"/>
      <c r="G1" s="3056"/>
      <c r="H1" s="3056"/>
    </row>
    <row r="2" spans="1:8" ht="24" customHeight="1">
      <c r="A2" s="3057" t="s">
        <v>175</v>
      </c>
      <c r="B2" s="3058">
        <f ca="1">TODAY()</f>
        <v>45960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ziyu wang</cp:lastModifiedBy>
  <cp:lastPrinted>2017-03-01T09:15:00Z</cp:lastPrinted>
  <dcterms:created xsi:type="dcterms:W3CDTF">2015-07-13T07:17:00Z</dcterms:created>
  <dcterms:modified xsi:type="dcterms:W3CDTF">2025-10-30T13:37:03Z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