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r:id="rId46"/>
    <sheet name="Sheet1" sheetId="81" r:id="rId47"/>
    <sheet name="Sheet2" sheetId="82" r:id="rId48"/>
    <sheet name="结果表-916净值" sheetId="83"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8">'结果表-916净值'!$A$1:$I$127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83" l="1"/>
  <c r="C75" i="83"/>
  <c r="A126" i="83"/>
  <c r="A122" i="83"/>
  <c r="A120" i="83"/>
  <c r="A118" i="83"/>
  <c r="E111" i="83"/>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O55" i="83" s="1"/>
  <c r="E59" i="83"/>
  <c r="N56" i="83"/>
  <c r="M56" i="83"/>
  <c r="K56" i="83"/>
  <c r="J56" i="83"/>
  <c r="F56" i="83"/>
  <c r="O54" i="83" s="1"/>
  <c r="N55" i="83"/>
  <c r="K55" i="83"/>
  <c r="J55" i="83"/>
  <c r="J57" i="83" s="1"/>
  <c r="J59" i="83" s="1"/>
  <c r="J61" i="83" s="1"/>
  <c r="I55" i="83"/>
  <c r="F55" i="83"/>
  <c r="O53" i="83" s="1"/>
  <c r="N54" i="83"/>
  <c r="F54" i="83"/>
  <c r="N53" i="83"/>
  <c r="F53" i="83"/>
  <c r="F52" i="83"/>
  <c r="K49" i="83"/>
  <c r="F48" i="83"/>
  <c r="O52" i="83" s="1"/>
  <c r="E48" i="83"/>
  <c r="N52" i="83" s="1"/>
  <c r="M47" i="83"/>
  <c r="F33" i="83"/>
  <c r="D27" i="83"/>
  <c r="C25" i="83"/>
  <c r="C24" i="83"/>
  <c r="M19" i="83"/>
  <c r="C118" i="83" s="1"/>
  <c r="L19" i="83"/>
  <c r="M18" i="83"/>
  <c r="B118" i="83" s="1"/>
  <c r="L18" i="83"/>
  <c r="D17" i="83"/>
  <c r="C17" i="83"/>
  <c r="C18" i="83" s="1"/>
  <c r="D18" i="83" s="1"/>
  <c r="L4" i="83"/>
  <c r="K4" i="83"/>
  <c r="A2" i="83"/>
  <c r="H1" i="83"/>
  <c r="N6" i="82"/>
  <c r="N7" i="82"/>
  <c r="N8" i="82"/>
  <c r="N9" i="82"/>
  <c r="N10" i="82"/>
  <c r="N11" i="82"/>
  <c r="N12" i="82"/>
  <c r="N13" i="82"/>
  <c r="N14" i="82"/>
  <c r="N15" i="82"/>
  <c r="N16" i="82"/>
  <c r="N17" i="82"/>
  <c r="N18" i="82"/>
  <c r="N19" i="82"/>
  <c r="N20" i="82"/>
  <c r="N5" i="82"/>
  <c r="M6" i="82"/>
  <c r="M7" i="82"/>
  <c r="M8" i="82"/>
  <c r="M9" i="82"/>
  <c r="M10" i="82"/>
  <c r="M11" i="82"/>
  <c r="M12" i="82"/>
  <c r="M13" i="82"/>
  <c r="M14" i="82"/>
  <c r="M15" i="82"/>
  <c r="M16" i="82"/>
  <c r="M17" i="82"/>
  <c r="M18" i="82"/>
  <c r="M19" i="82"/>
  <c r="M20" i="82"/>
  <c r="M5" i="82"/>
  <c r="J26" i="82"/>
  <c r="D20" i="82"/>
  <c r="D19" i="82"/>
  <c r="D18" i="82"/>
  <c r="D17" i="82"/>
  <c r="D16" i="82"/>
  <c r="D15" i="82"/>
  <c r="D14" i="82"/>
  <c r="D13" i="82"/>
  <c r="D12" i="82"/>
  <c r="D11" i="82"/>
  <c r="D10" i="82"/>
  <c r="D9" i="82"/>
  <c r="D8" i="82"/>
  <c r="D7" i="82"/>
  <c r="D6" i="82"/>
  <c r="D5" i="82"/>
  <c r="B14" i="74"/>
  <c r="E48" i="34"/>
  <c r="L6" i="81"/>
  <c r="G48" i="34" s="1"/>
  <c r="L7" i="81"/>
  <c r="I48" i="34" s="1"/>
  <c r="L5" i="81"/>
  <c r="F3" i="31"/>
  <c r="E4" i="31"/>
  <c r="F4" i="31"/>
  <c r="C4" i="31"/>
  <c r="C3" i="31"/>
  <c r="B25" i="31"/>
  <c r="B26" i="31"/>
  <c r="B27" i="31"/>
  <c r="B28" i="31"/>
  <c r="B29" i="31"/>
  <c r="B30" i="31"/>
  <c r="B31" i="31"/>
  <c r="B32" i="31"/>
  <c r="B33" i="31"/>
  <c r="B34" i="31"/>
  <c r="B35" i="31"/>
  <c r="B36" i="31"/>
  <c r="B37" i="31"/>
  <c r="B38" i="31"/>
  <c r="B39" i="31"/>
  <c r="B24" i="31"/>
  <c r="A25" i="31"/>
  <c r="A26" i="31"/>
  <c r="A27" i="31"/>
  <c r="A28" i="31"/>
  <c r="A29" i="31"/>
  <c r="A30" i="31"/>
  <c r="A31" i="31"/>
  <c r="A32" i="31"/>
  <c r="A33" i="31"/>
  <c r="A34" i="31"/>
  <c r="A35" i="31"/>
  <c r="A36" i="31"/>
  <c r="A37" i="31"/>
  <c r="A38" i="31"/>
  <c r="A39" i="31"/>
  <c r="A24" i="31"/>
  <c r="I37" i="34"/>
  <c r="G37" i="34"/>
  <c r="E37" i="34"/>
  <c r="I34" i="34"/>
  <c r="G34" i="34"/>
  <c r="E34" i="34"/>
  <c r="H7" i="81"/>
  <c r="H6" i="81"/>
  <c r="D35" i="83"/>
  <c r="D34" i="83"/>
  <c r="C19" i="83"/>
  <c r="C20" i="83"/>
  <c r="C74" i="83" l="1"/>
  <c r="C103" i="83"/>
  <c r="C102" i="83"/>
  <c r="C21" i="83"/>
  <c r="C92" i="83"/>
  <c r="C94" i="83"/>
  <c r="K120" i="83"/>
  <c r="D121" i="83"/>
  <c r="H109" i="83"/>
  <c r="C37" i="34"/>
  <c r="C34" i="34"/>
  <c r="I7" i="34"/>
  <c r="G7" i="34"/>
  <c r="E7" i="34"/>
  <c r="Y6" i="1"/>
  <c r="N6" i="1"/>
  <c r="I13" i="3"/>
  <c r="F19" i="6" s="1"/>
  <c r="J19" i="80"/>
  <c r="C19" i="80"/>
  <c r="J18" i="80"/>
  <c r="J17" i="80"/>
  <c r="J16" i="80"/>
  <c r="J15" i="80"/>
  <c r="J14" i="80"/>
  <c r="J13" i="80"/>
  <c r="J12" i="80"/>
  <c r="J11" i="80"/>
  <c r="J10" i="80"/>
  <c r="J9" i="80"/>
  <c r="J8" i="80"/>
  <c r="J7" i="80"/>
  <c r="J6" i="80"/>
  <c r="J5" i="80"/>
  <c r="J4" i="80"/>
  <c r="J3" i="80"/>
  <c r="D124" i="83" l="1"/>
  <c r="D125" i="83" s="1"/>
  <c r="H110" i="83"/>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S20" i="79" s="1"/>
  <c r="I23" i="79"/>
  <c r="AD23" i="79" s="1"/>
  <c r="AB22" i="79"/>
  <c r="AB20" i="79" s="1"/>
  <c r="AA22" i="79"/>
  <c r="Z22" i="79"/>
  <c r="N22" i="79"/>
  <c r="M22" i="79"/>
  <c r="T22" i="79" s="1"/>
  <c r="W22" i="79" s="1"/>
  <c r="L22" i="79"/>
  <c r="I22" i="79"/>
  <c r="AD22" i="79" s="1"/>
  <c r="AA20" i="79"/>
  <c r="AD20" i="79" s="1"/>
  <c r="T20" i="79"/>
  <c r="W20" i="79" s="1"/>
  <c r="N20" i="79"/>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T5" i="79" s="1"/>
  <c r="W5" i="79" s="1"/>
  <c r="L5" i="79"/>
  <c r="K5" i="79"/>
  <c r="R5" i="79" s="1"/>
  <c r="I5" i="79"/>
  <c r="AC3" i="79"/>
  <c r="AA3" i="79"/>
  <c r="AD3" i="79" s="1"/>
  <c r="Y3" i="79"/>
  <c r="U3" i="79"/>
  <c r="S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J29" i="39"/>
  <c r="AC29" i="39" s="1"/>
  <c r="G66" i="36"/>
  <c r="J18" i="36"/>
  <c r="F68" i="35"/>
  <c r="G68" i="35" s="1"/>
  <c r="H18" i="35"/>
  <c r="J18" i="35"/>
  <c r="H21" i="37"/>
  <c r="AB21" i="37" s="1"/>
  <c r="F21" i="37"/>
  <c r="H21" i="34"/>
  <c r="F83" i="33"/>
  <c r="G83" i="33" s="1"/>
  <c r="H21" i="33"/>
  <c r="F21" i="33"/>
  <c r="AA21" i="33" s="1"/>
  <c r="S21" i="21"/>
  <c r="H1" i="69"/>
  <c r="AC25" i="40"/>
  <c r="W25" i="40"/>
  <c r="AB25" i="40"/>
  <c r="U25" i="40"/>
  <c r="W29" i="39"/>
  <c r="AC18" i="36"/>
  <c r="W18" i="36"/>
  <c r="U21" i="37"/>
  <c r="AA21" i="37"/>
  <c r="S21" i="37"/>
  <c r="AB21" i="34"/>
  <c r="U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35" i="35"/>
  <c r="AA12" i="35"/>
  <c r="W23" i="35"/>
  <c r="AB28" i="37"/>
  <c r="U33" i="37"/>
  <c r="U39" i="37"/>
  <c r="W26" i="37"/>
  <c r="U26" i="37"/>
  <c r="AB13" i="34"/>
  <c r="AC36" i="34"/>
  <c r="AA13" i="33"/>
  <c r="AC45"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AZ499" i="3"/>
  <c r="AZ509" i="3"/>
  <c r="G509" i="3"/>
  <c r="BL493" i="3"/>
  <c r="AZ491" i="3"/>
  <c r="AZ376"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M28" i="67"/>
  <c r="F37" i="67"/>
  <c r="F38" i="67"/>
  <c r="F36" i="15"/>
  <c r="E8" i="76"/>
  <c r="E13" i="76"/>
  <c r="M23" i="15"/>
  <c r="F43" i="15"/>
  <c r="D34" i="9"/>
  <c r="F36" i="67"/>
  <c r="B9" i="76"/>
  <c r="M24" i="15"/>
  <c r="F13" i="67"/>
  <c r="F40" i="15"/>
  <c r="B10" i="76"/>
  <c r="C76" i="67"/>
  <c r="M8" i="15"/>
  <c r="L48" i="15"/>
  <c r="F37" i="15"/>
  <c r="M6" i="15"/>
  <c r="D7" i="73"/>
  <c r="M6" i="67"/>
  <c r="F40" i="67"/>
  <c r="M22" i="15"/>
  <c r="E7" i="76"/>
  <c r="E10" i="76"/>
  <c r="M26" i="15"/>
  <c r="L47" i="15"/>
  <c r="L47" i="67"/>
  <c r="M9" i="15"/>
  <c r="F43" i="67"/>
  <c r="D3" i="73"/>
  <c r="F7" i="67"/>
  <c r="F13" i="15"/>
  <c r="J15" i="67"/>
  <c r="B11" i="76"/>
  <c r="F42" i="67"/>
  <c r="AO13" i="1"/>
  <c r="B12" i="76"/>
  <c r="B8" i="76"/>
  <c r="F8" i="67"/>
  <c r="M23" i="67"/>
  <c r="F9" i="67"/>
  <c r="F6" i="67"/>
  <c r="M29" i="67"/>
  <c r="M24" i="67"/>
  <c r="F6" i="73"/>
  <c r="M9" i="67"/>
  <c r="D4" i="73"/>
  <c r="F9" i="15"/>
  <c r="F5" i="73"/>
  <c r="F4" i="73"/>
  <c r="F20" i="31"/>
  <c r="J15" i="15"/>
  <c r="E9" i="76"/>
  <c r="B13" i="76"/>
  <c r="F16" i="15"/>
  <c r="M28" i="15"/>
  <c r="D6" i="73"/>
  <c r="M22" i="67"/>
  <c r="F42" i="15"/>
  <c r="D5" i="73"/>
  <c r="F7" i="15"/>
  <c r="F26" i="15"/>
  <c r="M26" i="67"/>
  <c r="F7" i="73"/>
  <c r="C76" i="15"/>
  <c r="E12" i="76"/>
  <c r="M8" i="67"/>
  <c r="E2" i="68"/>
  <c r="F38" i="15"/>
  <c r="E11" i="76"/>
  <c r="F16" i="67"/>
  <c r="F3" i="73"/>
  <c r="M29" i="15"/>
  <c r="F26" i="67"/>
  <c r="L48" i="67"/>
  <c r="D35" i="9"/>
  <c r="F8" i="15"/>
  <c r="E2" i="69"/>
  <c r="F6" i="15"/>
  <c r="S43" i="34" l="1"/>
  <c r="S27" i="34"/>
  <c r="F34" i="15"/>
  <c r="F62" i="15" s="1"/>
  <c r="F34" i="67"/>
  <c r="F62" i="67" s="1"/>
  <c r="F54" i="9"/>
  <c r="F28" i="15"/>
  <c r="F32" i="15"/>
  <c r="F60" i="15" s="1"/>
  <c r="F32" i="67"/>
  <c r="F60" i="67" s="1"/>
  <c r="F52" i="9"/>
  <c r="F28" i="67"/>
  <c r="C28" i="67" s="1"/>
  <c r="F30" i="68"/>
  <c r="F48" i="68" s="1"/>
  <c r="D93" i="9"/>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71"/>
  <c r="E18" i="71" s="1"/>
  <c r="E17" i="71" s="1"/>
  <c r="E16" i="71" s="1"/>
  <c r="V20" i="71"/>
  <c r="AB43" i="33"/>
  <c r="U43" i="33"/>
  <c r="AZ581" i="3"/>
  <c r="AC14" i="37"/>
  <c r="W14" i="37"/>
  <c r="S13" i="35"/>
  <c r="AA13" i="35"/>
  <c r="AB46" i="33"/>
  <c r="U46" i="33"/>
  <c r="AC44" i="33"/>
  <c r="W44" i="33"/>
  <c r="C16" i="71"/>
  <c r="D17" i="71"/>
  <c r="D16" i="53"/>
  <c r="B34" i="72" s="1"/>
  <c r="W17" i="21"/>
  <c r="U12" i="39"/>
  <c r="G28" i="6"/>
  <c r="E28" i="6" s="1"/>
  <c r="K14" i="1" s="1"/>
  <c r="F29" i="6"/>
  <c r="AZ362" i="3"/>
  <c r="S41" i="34"/>
  <c r="AA41" i="34"/>
  <c r="S25" i="21"/>
  <c r="AA25" i="21"/>
  <c r="AZ557" i="3"/>
  <c r="AZ513" i="3"/>
  <c r="AZ517" i="3"/>
  <c r="AZ567" i="3"/>
  <c r="AZ571" i="3"/>
  <c r="AZ575" i="3"/>
  <c r="AZ579" i="3"/>
  <c r="AB14" i="40"/>
  <c r="U14" i="40"/>
  <c r="AC47" i="34"/>
  <c r="W47" i="34"/>
  <c r="AC31" i="33"/>
  <c r="S44" i="34"/>
  <c r="W29" i="33"/>
  <c r="S45" i="33"/>
  <c r="AC30" i="34"/>
  <c r="U23" i="40"/>
  <c r="AA29" i="35"/>
  <c r="AB23" i="34"/>
  <c r="U33" i="35"/>
  <c r="AC11" i="40"/>
  <c r="AA39" i="37"/>
  <c r="S34" i="21"/>
  <c r="U33" i="33"/>
  <c r="W9" i="34"/>
  <c r="B101" i="43"/>
  <c r="B79" i="43"/>
  <c r="B97" i="43"/>
  <c r="B75" i="43"/>
  <c r="B94" i="43"/>
  <c r="B73" i="43"/>
  <c r="B99" i="43"/>
  <c r="B76" i="43"/>
  <c r="AZ398" i="3"/>
  <c r="AZ400" i="3"/>
  <c r="AZ402" i="3"/>
  <c r="AZ406" i="3"/>
  <c r="AZ410" i="3"/>
  <c r="AZ413" i="3"/>
  <c r="F9" i="34"/>
  <c r="AA9" i="34" s="1"/>
  <c r="F12" i="34"/>
  <c r="F34" i="35"/>
  <c r="H34" i="35"/>
  <c r="J36" i="35"/>
  <c r="F23" i="36"/>
  <c r="H23" i="36"/>
  <c r="BL16" i="3"/>
  <c r="AZ16" i="3" s="1"/>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49" i="3"/>
  <c r="AZ54" i="3"/>
  <c r="AZ65" i="3"/>
  <c r="AZ70" i="3"/>
  <c r="AZ76" i="3"/>
  <c r="AZ90" i="3"/>
  <c r="AZ92" i="3"/>
  <c r="AZ96" i="3"/>
  <c r="AZ112"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B15" i="71"/>
  <c r="B14" i="71" s="1"/>
  <c r="B13" i="71" s="1"/>
  <c r="B12" i="71" s="1"/>
  <c r="S16" i="71"/>
  <c r="F7" i="36"/>
  <c r="J7" i="37"/>
  <c r="H7" i="36"/>
  <c r="D39" i="71"/>
  <c r="C40" i="71"/>
  <c r="S28" i="71"/>
  <c r="B27" i="71"/>
  <c r="B26" i="71" s="1"/>
  <c r="D31" i="71"/>
  <c r="C32" i="71"/>
  <c r="T64" i="71"/>
  <c r="D64" i="71"/>
  <c r="D66" i="71"/>
  <c r="O65" i="71"/>
  <c r="O66" i="71"/>
  <c r="AA23" i="36"/>
  <c r="S23" i="36"/>
  <c r="AB34" i="35"/>
  <c r="U34" i="35"/>
  <c r="S12" i="34"/>
  <c r="AA12" i="34"/>
  <c r="C74" i="71"/>
  <c r="D74" i="71" s="1"/>
  <c r="D75" i="71"/>
  <c r="F66" i="71"/>
  <c r="Q67" i="71"/>
  <c r="T60" i="71"/>
  <c r="D60" i="71"/>
  <c r="E27" i="71"/>
  <c r="E26" i="71" s="1"/>
  <c r="V28" i="71"/>
  <c r="T36" i="71"/>
  <c r="D36" i="71"/>
  <c r="AB23" i="36"/>
  <c r="U23" i="36"/>
  <c r="AC36" i="35"/>
  <c r="W36" i="35"/>
  <c r="AA34" i="35"/>
  <c r="S34" i="35"/>
  <c r="C15" i="71"/>
  <c r="T16" i="71"/>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E65" i="39"/>
  <c r="C14" i="71"/>
  <c r="D15" i="71"/>
  <c r="Q66" i="71"/>
  <c r="Q65" i="71"/>
  <c r="T32" i="71"/>
  <c r="D32" i="71"/>
  <c r="T40" i="71"/>
  <c r="D40"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R50" i="34" l="1"/>
  <c r="C49" i="34" s="1"/>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50" i="34" l="1"/>
  <c r="C25" i="11"/>
  <c r="C22" i="11" s="1"/>
  <c r="C31" i="11" s="1"/>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83"/>
  <c r="D19" i="9"/>
  <c r="D2" i="37"/>
  <c r="D2" i="35"/>
  <c r="D2" i="36"/>
  <c r="L51" i="15"/>
  <c r="D2" i="34"/>
  <c r="D102" i="83" l="1"/>
  <c r="D21" i="83"/>
  <c r="D22" i="83"/>
  <c r="G19" i="83"/>
  <c r="G21" i="83" s="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3"/>
  <c r="C19" i="9"/>
  <c r="D20" i="9"/>
  <c r="AO10" i="1"/>
  <c r="AO9" i="1"/>
  <c r="AO6" i="1"/>
  <c r="AO12" i="1"/>
  <c r="AO7" i="1"/>
  <c r="AO11" i="1"/>
  <c r="AO8" i="1"/>
  <c r="D103" i="83" l="1"/>
  <c r="G20" i="83"/>
  <c r="C32" i="83" s="1"/>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3" l="1"/>
  <c r="C35" i="83"/>
  <c r="G118" i="83" s="1"/>
  <c r="F118" i="83" s="1"/>
  <c r="F119"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3" l="1"/>
  <c r="E118" i="83"/>
  <c r="D118" i="83" s="1"/>
  <c r="D119" i="83" s="1"/>
  <c r="C105" i="83"/>
  <c r="H102" i="83"/>
  <c r="H118" i="83"/>
  <c r="C32" i="9"/>
  <c r="C35" i="9" s="1"/>
  <c r="C34" i="9" s="1"/>
  <c r="R24" i="31"/>
  <c r="I5" i="82" s="1"/>
  <c r="C42" i="40"/>
  <c r="C43" i="40"/>
  <c r="E47" i="40"/>
  <c r="F47" i="40" s="1"/>
  <c r="E46" i="40"/>
  <c r="F46" i="40" s="1"/>
  <c r="I47" i="40"/>
  <c r="J47" i="40" s="1"/>
  <c r="C104" i="83" l="1"/>
  <c r="H119" i="83"/>
  <c r="H101" i="83"/>
  <c r="E5" i="82"/>
  <c r="T24" i="31"/>
  <c r="S24" i="31"/>
  <c r="R38" i="31"/>
  <c r="R34" i="31"/>
  <c r="R30" i="31"/>
  <c r="R26" i="31"/>
  <c r="R37" i="31"/>
  <c r="R33" i="31"/>
  <c r="R29" i="31"/>
  <c r="R25" i="31"/>
  <c r="R36" i="31"/>
  <c r="R32" i="31"/>
  <c r="R28" i="31"/>
  <c r="R39" i="31"/>
  <c r="R35" i="31"/>
  <c r="R31" i="31"/>
  <c r="R27" i="31"/>
  <c r="I8" i="82" s="1"/>
  <c r="B58" i="40"/>
  <c r="F58" i="40" s="1"/>
  <c r="B54" i="40"/>
  <c r="F54" i="40" s="1"/>
  <c r="B53" i="40"/>
  <c r="F53" i="40" s="1"/>
  <c r="B59" i="40"/>
  <c r="F59" i="40" s="1"/>
  <c r="B52" i="40"/>
  <c r="F52" i="40" s="1"/>
  <c r="B56" i="40"/>
  <c r="F56" i="40" s="1"/>
  <c r="B60" i="40"/>
  <c r="F60" i="40" s="1"/>
  <c r="B57" i="40"/>
  <c r="F57" i="40" s="1"/>
  <c r="B51" i="40"/>
  <c r="F51" i="40" s="1"/>
  <c r="F61" i="40"/>
  <c r="B2" i="40" s="1"/>
  <c r="B3" i="40" s="1"/>
  <c r="H107" i="83" l="1"/>
  <c r="M48" i="83"/>
  <c r="T31" i="31"/>
  <c r="I12" i="82"/>
  <c r="T39" i="31"/>
  <c r="I20" i="82"/>
  <c r="T32" i="31"/>
  <c r="I13" i="82"/>
  <c r="T25" i="31"/>
  <c r="I6" i="82"/>
  <c r="T33" i="31"/>
  <c r="I14" i="82"/>
  <c r="T26" i="31"/>
  <c r="I7" i="82"/>
  <c r="T34" i="31"/>
  <c r="I15" i="82"/>
  <c r="T35" i="31"/>
  <c r="I16" i="82"/>
  <c r="T28" i="31"/>
  <c r="I9" i="82"/>
  <c r="T36" i="31"/>
  <c r="I17" i="82"/>
  <c r="T29" i="31"/>
  <c r="I10" i="82"/>
  <c r="T37" i="31"/>
  <c r="I18" i="82"/>
  <c r="T30" i="31"/>
  <c r="I11" i="82"/>
  <c r="T38" i="31"/>
  <c r="I19" i="82"/>
  <c r="E8" i="82"/>
  <c r="T27" i="31"/>
  <c r="S39" i="31"/>
  <c r="E20" i="82"/>
  <c r="D45" i="83" s="1"/>
  <c r="S32" i="31"/>
  <c r="E13" i="82"/>
  <c r="S33" i="31"/>
  <c r="E14" i="82"/>
  <c r="S35" i="31"/>
  <c r="E16" i="82"/>
  <c r="S28" i="31"/>
  <c r="E9" i="82"/>
  <c r="S36" i="31"/>
  <c r="E17" i="82"/>
  <c r="S29" i="31"/>
  <c r="E10" i="82"/>
  <c r="S37" i="31"/>
  <c r="E18" i="82"/>
  <c r="S30" i="31"/>
  <c r="E11" i="82"/>
  <c r="S38" i="31"/>
  <c r="E19" i="82"/>
  <c r="S31" i="31"/>
  <c r="E12" i="82"/>
  <c r="S25" i="31"/>
  <c r="E6" i="82"/>
  <c r="S26" i="31"/>
  <c r="E7" i="82"/>
  <c r="S34" i="31"/>
  <c r="E15" i="82"/>
  <c r="S27" i="31"/>
  <c r="C78" i="83" l="1"/>
  <c r="C73" i="83" s="1"/>
  <c r="C93" i="83"/>
  <c r="C86" i="83" s="1"/>
  <c r="C85" i="83"/>
  <c r="C72" i="83"/>
  <c r="C64" i="83"/>
  <c r="C63" i="83" s="1"/>
  <c r="C67" i="83" s="1"/>
  <c r="D55" i="83"/>
  <c r="M53" i="83" s="1"/>
  <c r="D53" i="83"/>
  <c r="D52" i="83"/>
  <c r="D122" i="83"/>
  <c r="D123" i="83" s="1"/>
  <c r="H108" i="83"/>
  <c r="M49" i="83"/>
  <c r="S22" i="31"/>
  <c r="R22" i="31" s="1"/>
  <c r="B6" i="74"/>
  <c r="D6" i="74" s="1"/>
  <c r="C95" i="83" l="1"/>
  <c r="C96" i="83" s="1"/>
  <c r="E96" i="83" s="1"/>
  <c r="E97" i="83" s="1"/>
  <c r="L66" i="83"/>
  <c r="M66" i="83" s="1"/>
  <c r="L65" i="83"/>
  <c r="M65" i="83" s="1"/>
  <c r="L64" i="83"/>
  <c r="M64" i="83" s="1"/>
  <c r="L68" i="83"/>
  <c r="M68" i="83" s="1"/>
  <c r="L67" i="83"/>
  <c r="M67" i="83" s="1"/>
  <c r="L63" i="83"/>
  <c r="M63" i="83" s="1"/>
  <c r="D59" i="83"/>
  <c r="M55" i="83" s="1"/>
  <c r="C68" i="83"/>
  <c r="D54" i="83" s="1"/>
  <c r="D48" i="83" s="1"/>
  <c r="M52" i="83" s="1"/>
  <c r="C79" i="83"/>
  <c r="B20" i="31"/>
  <c r="B21" i="31" s="1"/>
  <c r="C97" i="83" l="1"/>
  <c r="C80" i="83"/>
  <c r="E80" i="83" s="1"/>
  <c r="E81" i="83" s="1"/>
  <c r="M69" i="83"/>
  <c r="N69" i="83" s="1"/>
  <c r="D14" i="74"/>
  <c r="E14" i="74" s="1"/>
  <c r="C81" i="83" l="1"/>
  <c r="D58" i="83" s="1"/>
  <c r="D56" i="83" s="1"/>
  <c r="M54" i="83" s="1"/>
  <c r="N57" i="83" s="1"/>
  <c r="B5" i="74"/>
  <c r="D5" i="74" s="1"/>
  <c r="F14" i="74"/>
  <c r="N58" i="83" l="1"/>
  <c r="P57" i="83"/>
  <c r="N59" i="83"/>
  <c r="H111" i="83" l="1"/>
  <c r="D126" i="83" s="1"/>
  <c r="D127" i="83" s="1"/>
  <c r="N60" i="83"/>
  <c r="N61" i="83"/>
  <c r="H112" i="83" s="1"/>
  <c r="L5" i="82" l="1"/>
  <c r="F5" i="82"/>
  <c r="G5" i="82" s="1"/>
  <c r="H5" i="82" l="1"/>
  <c r="L10" i="82" l="1"/>
  <c r="F10" i="82"/>
  <c r="G10" i="82" s="1"/>
  <c r="H10" i="82" s="1"/>
  <c r="L19" i="82"/>
  <c r="F19" i="82"/>
  <c r="G19" i="82" s="1"/>
  <c r="H19" i="82" s="1"/>
  <c r="L7" i="82"/>
  <c r="F7" i="82"/>
  <c r="G7" i="82" s="1"/>
  <c r="H7" i="82" s="1"/>
  <c r="L6" i="82"/>
  <c r="F6" i="82"/>
  <c r="L18" i="82"/>
  <c r="F18" i="82"/>
  <c r="G18" i="82" s="1"/>
  <c r="H18" i="82" s="1"/>
  <c r="G6" i="82" l="1"/>
  <c r="L17" i="82"/>
  <c r="F17" i="82"/>
  <c r="G17" i="82" s="1"/>
  <c r="H17" i="82" s="1"/>
  <c r="L9" i="82"/>
  <c r="F9" i="82"/>
  <c r="G9" i="82" s="1"/>
  <c r="H9" i="82" s="1"/>
  <c r="L20" i="82"/>
  <c r="F20" i="82"/>
  <c r="G20" i="82" s="1"/>
  <c r="H20" i="82" s="1"/>
  <c r="L16" i="82"/>
  <c r="F16" i="82"/>
  <c r="G16" i="82" s="1"/>
  <c r="H16" i="82" s="1"/>
  <c r="L13" i="82"/>
  <c r="F13" i="82"/>
  <c r="G13" i="82" s="1"/>
  <c r="H13" i="82" s="1"/>
  <c r="L15" i="82"/>
  <c r="F15" i="82"/>
  <c r="G15" i="82" s="1"/>
  <c r="H15" i="82" s="1"/>
  <c r="L11" i="82"/>
  <c r="F11" i="82"/>
  <c r="G11" i="82" s="1"/>
  <c r="H11" i="82" s="1"/>
  <c r="L8" i="82"/>
  <c r="F8" i="82"/>
  <c r="G8" i="82" s="1"/>
  <c r="H8" i="82" s="1"/>
  <c r="F12" i="82"/>
  <c r="L12" i="82"/>
  <c r="L14" i="82"/>
  <c r="F14" i="82"/>
  <c r="G14" i="82" s="1"/>
  <c r="H14" i="82" s="1"/>
  <c r="E21" i="82"/>
  <c r="I21" i="82" s="1"/>
  <c r="F21" i="82" l="1"/>
  <c r="G12" i="82"/>
  <c r="H12" i="82" s="1"/>
  <c r="H6" i="82"/>
  <c r="G21" i="82"/>
  <c r="H21" i="82" s="1"/>
  <c r="G118" i="9" l="1"/>
  <c r="G4" i="52" s="1"/>
  <c r="B52" i="72" s="1"/>
  <c r="I118" i="9"/>
  <c r="I4" i="52" s="1"/>
  <c r="H118" i="9" l="1"/>
  <c r="F118" i="9"/>
  <c r="C105" i="9"/>
  <c r="H102" i="9"/>
  <c r="E118" i="9"/>
  <c r="E4" i="52" l="1"/>
  <c r="B48" i="72" s="1"/>
  <c r="D118" i="9"/>
  <c r="H4" i="52"/>
  <c r="H101" i="9"/>
  <c r="C104" i="9"/>
  <c r="H119" i="9"/>
  <c r="H5" i="52" s="1"/>
  <c r="C5" i="74"/>
  <c r="D7" i="53"/>
  <c r="B21" i="72" s="1"/>
  <c r="F4" i="52"/>
  <c r="B51" i="72" s="1"/>
  <c r="F119" i="9"/>
  <c r="F5" i="52" s="1"/>
  <c r="B53" i="72" s="1"/>
  <c r="M48" i="9" l="1"/>
  <c r="D5" i="53"/>
  <c r="H107" i="9"/>
  <c r="D45" i="9"/>
  <c r="D4" i="52"/>
  <c r="B47" i="72" s="1"/>
  <c r="D119" i="9"/>
  <c r="D5" i="52" s="1"/>
  <c r="B49" i="72" s="1"/>
  <c r="D122" i="9" l="1"/>
  <c r="H108" i="9"/>
  <c r="D13" i="53"/>
  <c r="M49" i="9"/>
  <c r="D53" i="9"/>
  <c r="C78" i="9"/>
  <c r="C73" i="9" s="1"/>
  <c r="C64" i="9"/>
  <c r="C63" i="9" s="1"/>
  <c r="C67" i="9" s="1"/>
  <c r="D55" i="9"/>
  <c r="M53" i="9" s="1"/>
  <c r="C85" i="9"/>
  <c r="D52" i="9"/>
  <c r="C93" i="9"/>
  <c r="C86" i="9" s="1"/>
  <c r="C72" i="9"/>
  <c r="C79" i="9" s="1"/>
  <c r="B20" i="72"/>
  <c r="D6" i="53"/>
  <c r="B22" i="72" s="1"/>
  <c r="C80" i="9" l="1"/>
  <c r="E80" i="9" s="1"/>
  <c r="E81" i="9" s="1"/>
  <c r="L64" i="9"/>
  <c r="M64" i="9" s="1"/>
  <c r="L68" i="9"/>
  <c r="M68" i="9" s="1"/>
  <c r="L65" i="9"/>
  <c r="M65" i="9" s="1"/>
  <c r="L66" i="9"/>
  <c r="M66" i="9" s="1"/>
  <c r="L63" i="9"/>
  <c r="M63" i="9" s="1"/>
  <c r="L67" i="9"/>
  <c r="M67" i="9" s="1"/>
  <c r="C6" i="74"/>
  <c r="D15" i="53"/>
  <c r="B31" i="72" s="1"/>
  <c r="C95" i="9"/>
  <c r="D59" i="9"/>
  <c r="M55" i="9" s="1"/>
  <c r="C68" i="9"/>
  <c r="D54" i="9" s="1"/>
  <c r="B30" i="72"/>
  <c r="D14" i="53"/>
  <c r="B32" i="72" s="1"/>
  <c r="D8" i="52"/>
  <c r="D123" i="9"/>
  <c r="D9" i="52" s="1"/>
  <c r="M69" i="9" l="1"/>
  <c r="N69" i="9" s="1"/>
  <c r="C81" i="9"/>
  <c r="C96" i="9"/>
  <c r="E96" i="9" s="1"/>
  <c r="E97" i="9" s="1"/>
  <c r="C97" i="9" l="1"/>
  <c r="D58" i="9" s="1"/>
  <c r="D56" i="9" s="1"/>
  <c r="M54" i="9" s="1"/>
  <c r="N57" i="9" s="1"/>
  <c r="P57" i="9" s="1"/>
  <c r="N58" i="9" l="1"/>
  <c r="N59" i="9"/>
  <c r="N60" i="9" s="1"/>
  <c r="H111" i="9" l="1"/>
  <c r="D126" i="9" s="1"/>
  <c r="N61" i="9"/>
  <c r="H112" i="9" s="1"/>
  <c r="C8" i="74" s="1"/>
  <c r="D19" i="53" l="1"/>
  <c r="D20" i="53" s="1"/>
  <c r="B40" i="72" s="1"/>
  <c r="D21" i="53"/>
  <c r="B39" i="72" s="1"/>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<sst xmlns="http://schemas.openxmlformats.org/spreadsheetml/2006/main" count="8182" uniqueCount="3461">
  <si>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</si>
  <si>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</si>
  <si>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</si>
  <si>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</si>
  <si>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</si>
  <si>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</si>
  <si>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</si>
  <si>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</si>
  <si>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</si>
  <si>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</si>
  <si>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</si>
  <si>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</si>
  <si>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</si>
  <si>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</si>
  <si>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</si>
  <si>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</si>
  <si>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</si>
  <si>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</si>
  <si>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</si>
  <si>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</si>
  <si>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</si>
  <si>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</si>
  <si>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</si>
  <si>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</si>
  <si>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</si>
  <si>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</si>
  <si>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</si>
  <si>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</si>
  <si>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</si>
  <si>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</si>
  <si>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</si>
  <si>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</si>
  <si>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</si>
  <si>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</si>
  <si>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</si>
  <si>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</si>
  <si>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</si>
  <si>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</si>
  <si>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</si>
  <si>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</si>
  <si>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</si>
  <si>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</si>
  <si>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</si>
  <si>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</si>
  <si>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</si>
  <si>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</si>
  <si>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</si>
  <si>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</si>
  <si>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</si>
  <si>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</si>
  <si>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</si>
  <si>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</si>
  <si>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</si>
  <si>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</si>
  <si>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</si>
  <si>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</si>
  <si>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</si>
  <si>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</si>
  <si>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</si>
  <si>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</si>
  <si>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</si>
  <si>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</si>
  <si>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</si>
  <si>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</si>
  <si>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</si>
  <si>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</si>
  <si>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</si>
  <si>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</si>
  <si>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</si>
  <si>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</si>
  <si>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</si>
  <si>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</si>
  <si>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</si>
  <si>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</si>
  <si>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</si>
  <si>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</si>
  <si>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</si>
  <si>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</si>
  <si>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</si>
  <si>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</si>
  <si>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</si>
  <si>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</si>
  <si>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</si>
  <si>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</si>
  <si>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</si>
  <si>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</si>
  <si>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</si>
  <si>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</si>
  <si>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</si>
  <si>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</si>
  <si>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</si>
  <si>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</si>
  <si>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</si>
  <si>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</si>
  <si>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</si>
  <si>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</si>
  <si>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</si>
  <si>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</si>
  <si>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</si>
  <si>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</si>
  <si>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</si>
  <si>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</si>
  <si>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</si>
  <si>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</si>
  <si>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</si>
  <si>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</si>
  <si>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</si>
  <si>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</si>
  <si>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</si>
  <si>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</si>
  <si>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</si>
  <si>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</si>
  <si>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</si>
  <si>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</si>
  <si>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</si>
  <si>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</si>
  <si>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</si>
  <si>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</si>
  <si>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</si>
  <si>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</si>
  <si>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</si>
  <si>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</si>
  <si>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</si>
  <si>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</si>
  <si>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</si>
  <si>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</si>
  <si>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</si>
  <si>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</si>
  <si>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</si>
  <si>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</si>
  <si>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</si>
  <si>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</si>
  <si>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</si>
  <si>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</si>
  <si>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</si>
  <si>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</si>
  <si>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</si>
  <si>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</si>
  <si>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</si>
  <si>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</si>
  <si>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</si>
  <si>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</si>
  <si>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</si>
  <si>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</si>
  <si>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</si>
  <si>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</si>
  <si>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</si>
  <si>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</si>
  <si>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</si>
  <si>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</si>
  <si>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</si>
  <si>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</si>
  <si>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</si>
  <si>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</si>
  <si>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</si>
  <si>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</si>
  <si>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</si>
  <si>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</si>
  <si>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</si>
  <si>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</si>
  <si>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</si>
  <si>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</si>
  <si>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</si>
  <si>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</si>
  <si>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</si>
  <si>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</si>
  <si>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</si>
  <si>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</si>
  <si>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</si>
  <si>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</si>
  <si>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</si>
  <si>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</si>
  <si>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</si>
  <si>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</si>
  <si>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</si>
  <si>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</si>
  <si>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</si>
  <si>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</si>
  <si>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</si>
  <si>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</si>
  <si>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</si>
  <si>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</si>
  <si>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</si>
  <si>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</si>
  <si>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</si>
  <si>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</si>
  <si>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</si>
  <si>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</si>
  <si>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</si>
  <si>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</si>
  <si>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</si>
  <si>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</si>
  <si>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</si>
  <si>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</si>
  <si>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</si>
  <si>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</si>
  <si>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</si>
  <si>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</si>
  <si>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</si>
  <si>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</si>
  <si>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</si>
  <si>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</si>
  <si>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</si>
  <si>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</si>
  <si>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</si>
  <si>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</si>
  <si>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</si>
  <si>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</si>
  <si>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</si>
  <si>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</si>
  <si>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</si>
  <si>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</si>
  <si>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</si>
  <si>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</si>
  <si>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</si>
  <si>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</si>
  <si>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</si>
  <si>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</si>
  <si>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</si>
  <si>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</si>
  <si>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</si>
  <si>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</si>
  <si>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</si>
  <si>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</si>
  <si>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</si>
  <si>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</si>
  <si>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</si>
  <si>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</si>
  <si>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</si>
  <si>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</si>
  <si>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</si>
  <si>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</si>
  <si>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</si>
  <si>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</si>
  <si>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</si>
  <si>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</si>
  <si>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</si>
  <si>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</si>
  <si>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</si>
  <si>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</si>
  <si>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</si>
  <si>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</si>
  <si>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</si>
  <si>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</si>
  <si>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</si>
  <si>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</si>
  <si>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</si>
  <si>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</si>
  <si>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</si>
  <si>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</si>
  <si>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</si>
  <si>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</si>
  <si>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</si>
  <si>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</si>
  <si>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</si>
  <si>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</si>
  <si>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</si>
  <si>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</si>
  <si>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</si>
  <si>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</si>
  <si>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</si>
  <si>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</si>
  <si>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</si>
  <si>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</si>
  <si>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</si>
  <si>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</si>
  <si>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</si>
  <si>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</si>
  <si>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</si>
  <si>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</si>
  <si>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</si>
  <si>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</si>
  <si>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</si>
  <si>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</si>
  <si>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</si>
  <si>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</si>
  <si>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</si>
  <si>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</si>
  <si>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</si>
  <si>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</si>
  <si>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</si>
  <si>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</si>
  <si>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</si>
  <si>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</si>
  <si>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</si>
  <si>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</si>
  <si>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</si>
  <si>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</si>
  <si>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</si>
  <si>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</si>
  <si>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</si>
  <si>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</si>
  <si>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</si>
  <si>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</si>
  <si>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</si>
  <si>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</si>
  <si>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</si>
  <si>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</si>
  <si>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</si>
  <si>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</si>
  <si>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</si>
  <si>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</si>
  <si>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</si>
  <si>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</si>
  <si>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</si>
  <si>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</si>
  <si>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</si>
  <si>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</si>
  <si>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</si>
  <si>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</si>
  <si>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</si>
  <si>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</si>
  <si>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</si>
  <si>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</si>
  <si>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</si>
  <si>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</si>
  <si>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</si>
  <si>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</si>
  <si>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</si>
  <si>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</si>
  <si>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</si>
  <si>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</si>
  <si>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</si>
  <si>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</si>
  <si>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</si>
  <si>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</si>
  <si>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</si>
  <si>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</si>
  <si>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</si>
  <si>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</si>
  <si>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</si>
  <si>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</si>
  <si>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</si>
  <si>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</si>
  <si>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</si>
  <si>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</si>
  <si>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</si>
  <si>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</si>
  <si>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</si>
  <si>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</si>
  <si>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</si>
  <si>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</si>
  <si>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</si>
  <si>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</si>
  <si>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</si>
  <si>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</si>
  <si>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</si>
  <si>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</si>
  <si>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</si>
  <si>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</si>
  <si>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</si>
  <si>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</si>
  <si>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</si>
  <si>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</si>
  <si>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</si>
  <si>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</si>
  <si>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</si>
  <si>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</si>
  <si>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</si>
  <si>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</si>
  <si>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</si>
  <si>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</si>
  <si>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</si>
  <si>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</si>
  <si>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</si>
  <si>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</si>
  <si>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</si>
  <si>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</si>
  <si>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</si>
  <si>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</si>
  <si>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</si>
  <si>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</si>
  <si>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</si>
  <si>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</si>
  <si>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</si>
  <si>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</si>
  <si>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</si>
  <si>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</si>
  <si>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</si>
  <si>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</si>
  <si>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</si>
  <si>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</si>
  <si>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</si>
  <si>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</si>
  <si>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</si>
  <si>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</si>
  <si>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</si>
  <si>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</si>
  <si>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</si>
  <si>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</si>
  <si>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</si>
  <si>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</si>
  <si>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</si>
  <si>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</si>
  <si>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</si>
  <si>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</si>
  <si>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</si>
  <si>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</si>
  <si>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</si>
  <si>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</si>
  <si>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</si>
  <si>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</si>
  <si>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</si>
  <si>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</si>
  <si>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</si>
  <si>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</si>
  <si>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</si>
  <si>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</si>
  <si>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</si>
  <si>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</si>
  <si>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</si>
  <si>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</si>
  <si>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</si>
  <si>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</si>
  <si>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</si>
  <si>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</si>
  <si>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</si>
  <si>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</si>
  <si>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</si>
  <si>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</si>
  <si>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</si>
  <si>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</si>
  <si>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</si>
  <si>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</si>
  <si>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</si>
  <si>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</si>
  <si>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</si>
  <si>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</si>
  <si>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</si>
  <si>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</si>
  <si>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</si>
  <si>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</si>
  <si>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</si>
  <si>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</si>
  <si>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</si>
  <si>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</si>
  <si>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</si>
  <si>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</si>
  <si>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</si>
  <si>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</si>
  <si>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</si>
  <si>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</si>
  <si>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</si>
  <si>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</si>
  <si>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</si>
  <si>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</si>
  <si>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</si>
  <si>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</si>
  <si>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</si>
  <si>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</si>
  <si>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</si>
  <si>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</si>
  <si>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</si>
  <si>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</si>
  <si>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</si>
  <si>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</si>
  <si>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</si>
  <si>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</si>
  <si>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</si>
  <si>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</si>
  <si>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</si>
  <si>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</si>
  <si>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</si>
  <si>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</si>
  <si>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</si>
  <si>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</si>
  <si>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</si>
  <si>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</si>
  <si>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</si>
  <si>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</si>
  <si>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</si>
  <si>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</si>
  <si>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</si>
  <si>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</si>
  <si>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</si>
  <si>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</si>
  <si>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</si>
  <si>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</si>
  <si>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</si>
  <si>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</si>
  <si>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</si>
  <si>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</si>
  <si>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</si>
  <si>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</si>
  <si>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</si>
  <si>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</si>
  <si>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</si>
  <si>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</si>
  <si>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</si>
  <si>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</si>
  <si>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</si>
  <si>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</si>
  <si>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</si>
  <si>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</si>
  <si>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</si>
  <si>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</si>
  <si>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</si>
  <si>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</si>
  <si>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</si>
  <si>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</si>
  <si>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</si>
  <si>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</si>
  <si>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</si>
  <si>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</si>
  <si>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</si>
  <si>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</si>
  <si>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</si>
  <si>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</si>
  <si>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</si>
  <si>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</si>
  <si>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</si>
  <si>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</si>
  <si>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</si>
  <si>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</si>
  <si>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</si>
  <si>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</si>
  <si>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</si>
  <si>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</si>
  <si>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</si>
  <si>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</si>
  <si>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</si>
  <si>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</si>
  <si>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</si>
  <si>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</si>
  <si>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</si>
  <si>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</si>
  <si>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</si>
  <si>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</si>
  <si>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</si>
  <si>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</si>
  <si>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</si>
  <si>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</si>
  <si>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</si>
  <si>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</si>
  <si>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</si>
  <si>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</si>
  <si>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</si>
  <si>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</si>
  <si>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</si>
  <si>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</si>
  <si>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</si>
  <si>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</si>
  <si>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</si>
  <si>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</si>
  <si>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</si>
  <si>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</si>
  <si>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</si>
  <si>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</si>
  <si>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</si>
  <si>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</si>
  <si>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</si>
  <si>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</si>
  <si>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</si>
  <si>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</si>
  <si>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</si>
  <si>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</si>
  <si>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</si>
  <si>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</si>
  <si>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</si>
  <si>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</si>
  <si>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</si>
  <si>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</si>
  <si>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</si>
  <si>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</si>
  <si>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</si>
  <si>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</si>
  <si>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</si>
  <si>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</si>
  <si>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</si>
  <si>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</si>
  <si>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</si>
  <si>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</si>
  <si>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</si>
  <si>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</si>
  <si>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</si>
  <si>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</si>
  <si>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</si>
  <si>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</si>
  <si>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</si>
  <si>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</si>
  <si>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</si>
  <si>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</si>
  <si>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</si>
  <si>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</si>
  <si>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</si>
  <si>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</si>
  <si>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</si>
  <si>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</si>
  <si>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</si>
  <si>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</si>
  <si>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</si>
  <si>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</si>
  <si>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</si>
  <si>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</si>
  <si>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</si>
  <si>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</si>
  <si>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</si>
  <si>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</si>
  <si>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</si>
  <si>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</si>
  <si>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</si>
  <si>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</si>
  <si>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</si>
  <si>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</si>
  <si>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</si>
  <si>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</si>
  <si>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</si>
  <si>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</si>
  <si>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</si>
  <si>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</si>
  <si>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</si>
  <si>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</si>
  <si>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</si>
  <si>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</si>
  <si>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</si>
  <si>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</si>
  <si>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</si>
  <si>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</si>
  <si>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</si>
  <si>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</si>
  <si>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</si>
  <si>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</si>
  <si>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</si>
  <si>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</si>
  <si>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</si>
  <si>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</si>
  <si>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</si>
  <si>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</si>
  <si>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</si>
  <si>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</si>
  <si>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</si>
  <si>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</si>
  <si>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</si>
  <si>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</si>
  <si>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</si>
  <si>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</si>
  <si>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</si>
  <si>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</si>
  <si>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</si>
  <si>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</si>
  <si>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</si>
  <si>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</si>
  <si>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</si>
  <si>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</si>
  <si>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</si>
  <si>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</si>
  <si>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</si>
  <si>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</si>
  <si>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</si>
  <si>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</si>
  <si>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</si>
  <si>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</si>
  <si>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</si>
  <si>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</si>
  <si>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</si>
  <si>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</si>
  <si>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</si>
  <si>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</si>
  <si>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</si>
  <si>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</si>
  <si>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</si>
  <si>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</si>
  <si>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</si>
  <si>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</si>
  <si>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</si>
  <si>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</si>
  <si>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</si>
  <si>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</si>
  <si>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</si>
  <si>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</si>
  <si>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</si>
  <si>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</si>
  <si>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</si>
  <si>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</si>
  <si>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</si>
  <si>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</si>
  <si>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</si>
  <si>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</si>
  <si>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</si>
  <si>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</si>
  <si>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</si>
  <si>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</si>
  <si>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</si>
  <si>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</si>
  <si>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</si>
  <si>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</si>
  <si>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</si>
  <si>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</si>
  <si>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</si>
  <si>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</si>
  <si>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</si>
  <si>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</si>
  <si>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</si>
  <si>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</si>
  <si>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</si>
  <si>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</si>
  <si>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</si>
  <si>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</si>
  <si>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</si>
  <si>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</si>
  <si>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</si>
  <si>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</si>
  <si>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</si>
  <si>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</si>
  <si>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</si>
  <si>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</si>
  <si>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</si>
  <si>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</si>
  <si>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</si>
  <si>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</si>
  <si>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</si>
  <si>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</si>
  <si>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</si>
  <si>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</si>
  <si>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</si>
  <si>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</si>
  <si>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</si>
  <si>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</si>
  <si>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</si>
  <si>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</si>
  <si>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</si>
  <si>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</si>
  <si>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</si>
  <si>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</si>
  <si>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</si>
  <si>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</si>
  <si>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</si>
  <si>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</si>
  <si>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</si>
  <si>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</si>
  <si>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</si>
  <si>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</si>
  <si>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</si>
  <si>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</si>
  <si>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</si>
  <si>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</si>
  <si>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</si>
  <si>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</si>
  <si>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</si>
  <si>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</si>
  <si>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</si>
  <si>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</si>
  <si>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</si>
  <si>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</si>
  <si>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</si>
  <si>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</si>
  <si>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</si>
  <si>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</si>
  <si>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</si>
  <si>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</si>
  <si>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</si>
  <si>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</si>
  <si>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</si>
  <si>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</si>
  <si>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</si>
  <si>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</si>
  <si>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</si>
  <si>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</si>
  <si>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</si>
  <si>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</si>
  <si>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</si>
  <si>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</si>
  <si>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</si>
  <si>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</si>
  <si>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</si>
  <si>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</si>
  <si>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</si>
  <si>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</si>
  <si>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</si>
  <si>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</si>
  <si>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</si>
  <si>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</si>
  <si>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</si>
  <si>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</si>
  <si>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</si>
  <si>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</si>
  <si>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</si>
  <si>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</si>
  <si>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</si>
  <si>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</si>
  <si>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</si>
  <si>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</si>
  <si>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</si>
  <si>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</si>
  <si>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</si>
  <si>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</si>
  <si>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</si>
  <si>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</si>
  <si>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</si>
  <si>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</si>
  <si>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</si>
  <si>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</si>
  <si>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</si>
  <si>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</si>
  <si>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</si>
  <si>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</si>
  <si>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</si>
  <si>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</si>
  <si>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</si>
  <si>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</si>
  <si>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</si>
  <si>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</si>
  <si>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</si>
  <si>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</si>
  <si>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</si>
  <si>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</si>
  <si>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</si>
  <si>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</si>
  <si>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</si>
  <si>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</si>
  <si>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</si>
  <si>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</si>
  <si>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</si>
  <si>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</si>
  <si>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</si>
  <si>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</si>
  <si>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</si>
  <si>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</si>
  <si>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</si>
  <si>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</si>
  <si>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</si>
  <si>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</si>
  <si>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</si>
  <si>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</si>
  <si>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</si>
  <si>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</si>
  <si>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</si>
  <si>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</si>
  <si>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</si>
  <si>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</si>
  <si>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</si>
  <si>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</si>
  <si>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</si>
  <si>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</si>
  <si>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</si>
  <si>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</si>
  <si>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</si>
  <si>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</si>
  <si>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</si>
  <si>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</si>
  <si>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</si>
  <si>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</si>
  <si>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</si>
  <si>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</si>
  <si>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</si>
  <si>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</si>
  <si>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</si>
  <si>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</si>
  <si>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</si>
  <si>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</si>
  <si>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</si>
  <si>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</si>
  <si>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</si>
  <si>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</si>
  <si>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</si>
  <si>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</si>
  <si>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</si>
  <si>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</si>
  <si>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</si>
  <si>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</si>
  <si>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</si>
  <si>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</si>
  <si>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</si>
  <si>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</si>
  <si>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</si>
  <si>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</si>
  <si>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</si>
  <si>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</si>
  <si>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</si>
  <si>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</si>
  <si>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</si>
  <si>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</si>
  <si>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</si>
  <si>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</si>
  <si>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</si>
  <si>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</si>
  <si>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</si>
  <si>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</si>
  <si>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</si>
  <si>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</si>
  <si>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</si>
  <si>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</si>
  <si>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</si>
  <si>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</si>
  <si>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</si>
  <si>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</si>
  <si>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</si>
  <si>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</si>
  <si>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</si>
  <si>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</si>
  <si>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</si>
  <si>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</si>
  <si>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</si>
  <si>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</si>
  <si>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</si>
  <si>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</si>
  <si>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</si>
  <si>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</si>
  <si>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</si>
  <si>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</si>
  <si>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</si>
  <si>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</si>
  <si>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</si>
  <si>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</si>
  <si>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</si>
  <si>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</si>
  <si>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</si>
  <si>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</si>
  <si>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</si>
  <si>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</si>
  <si>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</si>
  <si>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</si>
  <si>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</si>
  <si>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</si>
  <si>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</si>
  <si>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</si>
  <si>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</si>
  <si>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</si>
  <si>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</si>
  <si>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</si>
  <si>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</si>
  <si>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</si>
  <si>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</si>
  <si>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</si>
  <si>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</si>
  <si>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</si>
  <si>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</si>
  <si>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</si>
  <si>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</si>
  <si>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</si>
  <si>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</si>
  <si>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</si>
  <si>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</si>
  <si>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</si>
  <si>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</si>
  <si>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</si>
  <si>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</si>
  <si>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</si>
  <si>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</si>
  <si>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</si>
  <si>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</si>
  <si>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</si>
  <si>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</si>
  <si>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</si>
  <si>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</si>
  <si>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</si>
  <si>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</si>
  <si>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</si>
  <si>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</si>
  <si>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</si>
  <si>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</si>
  <si>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</si>
  <si>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</si>
  <si>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</si>
  <si>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</si>
  <si>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</si>
  <si>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</si>
  <si>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</si>
  <si>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</si>
  <si>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</si>
  <si>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</si>
  <si>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</si>
  <si>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</si>
  <si>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</si>
  <si>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</si>
  <si>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</si>
  <si>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</si>
  <si>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</si>
  <si>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</si>
  <si>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</si>
  <si>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</si>
  <si>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</si>
  <si>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</si>
  <si>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</si>
  <si>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</si>
  <si>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</si>
  <si>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</si>
  <si>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</si>
  <si>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</si>
  <si>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</si>
  <si>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</si>
  <si>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</si>
  <si>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</si>
  <si>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</si>
  <si>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</si>
  <si>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</si>
  <si>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</si>
  <si>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</si>
  <si>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</si>
  <si>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</si>
  <si>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</si>
  <si>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</si>
  <si>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</si>
  <si>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</si>
  <si>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</si>
  <si>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</si>
  <si>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</si>
  <si>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</si>
  <si>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</si>
  <si>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</si>
  <si>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</si>
  <si>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</si>
  <si>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</si>
  <si>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</si>
  <si>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</si>
  <si>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</si>
  <si>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</si>
  <si>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</si>
  <si>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</si>
  <si>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</si>
  <si>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</si>
  <si>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</si>
  <si>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</si>
  <si>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</si>
  <si>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</si>
  <si>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</si>
  <si>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</si>
  <si>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</si>
  <si>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</si>
  <si>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</si>
  <si>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</si>
  <si>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</si>
  <si>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</si>
  <si>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</si>
  <si>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</si>
  <si>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</si>
  <si>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</si>
  <si>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</si>
  <si>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</si>
  <si>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</si>
  <si>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</si>
  <si>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</si>
  <si>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</si>
  <si>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</si>
  <si>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</si>
  <si>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</si>
  <si>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</si>
  <si>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</si>
  <si>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</si>
  <si>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</si>
  <si>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</si>
  <si>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</si>
  <si>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</si>
  <si>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</si>
  <si>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</si>
  <si>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</si>
  <si>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</si>
  <si>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</si>
  <si>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</si>
  <si>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</si>
  <si>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</si>
  <si>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</si>
  <si>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</si>
  <si>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</si>
  <si>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</si>
  <si>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</si>
  <si>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</si>
  <si>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</si>
  <si>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</si>
  <si>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</si>
  <si>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</si>
  <si>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</si>
  <si>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</si>
  <si>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</si>
  <si>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</si>
  <si>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</si>
  <si>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</si>
  <si>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</si>
  <si>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</si>
  <si>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</si>
  <si>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</si>
  <si>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</si>
  <si>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</si>
  <si>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</si>
  <si>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</si>
  <si>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</si>
  <si>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</si>
  <si>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</si>
  <si>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</si>
  <si>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</si>
  <si>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</si>
  <si>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</si>
  <si>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</si>
  <si>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</si>
  <si>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</si>
  <si>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</si>
  <si>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</si>
  <si>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</si>
  <si>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</si>
  <si>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</si>
  <si>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</si>
  <si>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</si>
  <si>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</si>
  <si>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</si>
  <si>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</si>
  <si>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</si>
  <si>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</si>
  <si>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</si>
  <si>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</si>
  <si>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</si>
  <si>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</si>
  <si>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</si>
  <si>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</si>
  <si>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</si>
  <si>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</si>
  <si>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</si>
  <si>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</si>
  <si>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</si>
  <si>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</si>
  <si>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</si>
  <si>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</si>
  <si>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</si>
  <si>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</si>
  <si>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</si>
  <si>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</si>
  <si>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</si>
  <si>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</si>
  <si>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</si>
  <si>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</si>
  <si>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</si>
  <si>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</si>
  <si>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</si>
  <si>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</si>
  <si>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</si>
  <si>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</si>
  <si>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</si>
  <si>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</si>
  <si>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</si>
  <si>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</si>
  <si>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</si>
  <si>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</si>
  <si>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</si>
  <si>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</si>
  <si>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</si>
  <si>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</si>
  <si>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</si>
  <si>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</si>
  <si>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</si>
  <si>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</si>
  <si>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</si>
  <si>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</si>
  <si>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</si>
  <si>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</si>
  <si>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</si>
  <si>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</si>
  <si>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</si>
  <si>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</si>
  <si>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</si>
  <si>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</si>
  <si>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</si>
  <si>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</si>
  <si>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</si>
  <si>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</si>
  <si>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</si>
  <si>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</si>
  <si>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</si>
  <si>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</si>
  <si>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</si>
  <si>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</si>
  <si>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</si>
  <si>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</si>
  <si>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</si>
  <si>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</si>
  <si>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</si>
  <si>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</si>
  <si>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</si>
  <si>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</si>
  <si>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</si>
  <si>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</si>
  <si>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</si>
  <si>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</si>
  <si>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</si>
  <si>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</si>
  <si>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</si>
  <si>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</si>
  <si>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</si>
  <si>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</si>
  <si>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</si>
  <si>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</si>
  <si>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</si>
  <si>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</si>
  <si>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</si>
  <si>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</si>
  <si>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</si>
  <si>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</si>
  <si>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</si>
  <si>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</si>
  <si>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</si>
  <si>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</si>
  <si>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</si>
  <si>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</si>
  <si>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</si>
  <si>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</si>
  <si>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</si>
  <si>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</si>
  <si>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</si>
  <si>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</si>
  <si>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</si>
  <si>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</si>
  <si>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</si>
  <si>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</si>
  <si>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</si>
  <si>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</si>
  <si>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</si>
  <si>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</si>
  <si>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</si>
  <si>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</si>
  <si>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</si>
  <si>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</si>
  <si>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</si>
  <si>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</si>
  <si>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</si>
  <si>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</si>
  <si>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</si>
  <si>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</si>
  <si>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</si>
  <si>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</si>
  <si>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</si>
  <si>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</si>
  <si>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</si>
  <si>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</si>
  <si>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</si>
  <si>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</si>
  <si>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</si>
  <si>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</si>
  <si>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</si>
  <si>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</si>
  <si>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</si>
  <si>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</si>
  <si>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</si>
  <si>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</si>
  <si>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</si>
  <si>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</si>
  <si>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</si>
  <si>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</si>
  <si>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</si>
  <si>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</si>
  <si>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</si>
  <si>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</si>
  <si>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</si>
  <si>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</si>
  <si>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</si>
  <si>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</si>
  <si>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</si>
  <si>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</si>
  <si>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</si>
  <si>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</si>
  <si>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</si>
  <si>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</si>
  <si>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</si>
  <si>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</si>
  <si>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</si>
  <si>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</si>
  <si>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</si>
  <si>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</si>
  <si>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</si>
  <si>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</si>
  <si>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</si>
  <si>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</si>
  <si>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</si>
  <si>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</si>
  <si>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</si>
  <si>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</si>
  <si>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</si>
  <si>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</si>
  <si>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</si>
  <si>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</si>
  <si>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</si>
  <si>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</si>
  <si>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</si>
  <si>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</si>
  <si>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</si>
  <si>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</si>
  <si>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</si>
  <si>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</si>
  <si>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</si>
  <si>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</si>
  <si>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</si>
  <si>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</si>
  <si>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</si>
  <si>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</si>
  <si>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</si>
  <si>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</si>
  <si>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</si>
  <si>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</si>
  <si>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</si>
  <si>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</si>
  <si>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</si>
  <si>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</si>
  <si>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</si>
  <si>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</si>
  <si>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</si>
  <si>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</si>
  <si>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</si>
  <si>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</si>
  <si>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</si>
  <si>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</si>
  <si>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</si>
  <si>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</si>
  <si>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</si>
  <si>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</si>
  <si>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</si>
  <si>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</si>
  <si>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</si>
  <si>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</si>
  <si>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</si>
  <si>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</si>
  <si>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</si>
  <si>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</si>
  <si>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</si>
  <si>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</si>
  <si>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</si>
  <si>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</si>
  <si>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</si>
  <si>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</si>
  <si>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</si>
  <si>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</si>
  <si>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</si>
  <si>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</si>
  <si>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</si>
  <si>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</si>
  <si>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</si>
  <si>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</si>
  <si>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</si>
  <si>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</si>
  <si>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</si>
  <si>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</si>
  <si>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</si>
  <si>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</si>
  <si>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</si>
  <si>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</si>
  <si>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</si>
  <si>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</si>
  <si>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</si>
  <si>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</si>
  <si>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</si>
  <si>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</si>
  <si>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</si>
  <si>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</si>
  <si>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</si>
  <si>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</si>
  <si>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</si>
  <si>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</si>
  <si>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</si>
  <si>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</si>
  <si>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</si>
  <si>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</si>
  <si>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</si>
  <si>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</si>
  <si>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</si>
  <si>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</si>
  <si>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</si>
  <si>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</si>
  <si>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</si>
  <si>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</si>
  <si>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</si>
  <si>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</si>
  <si>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</si>
  <si>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</si>
  <si>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</si>
  <si>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</si>
  <si>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</si>
  <si>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</si>
  <si>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</si>
  <si>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</si>
  <si>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</si>
  <si>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</si>
  <si>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</si>
  <si>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</si>
  <si>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</si>
  <si>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</si>
  <si>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</si>
  <si>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</si>
  <si>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</si>
  <si>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</si>
  <si>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</si>
  <si>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</si>
  <si>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</si>
  <si>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</si>
  <si>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</si>
  <si>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</si>
  <si>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</si>
  <si>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</si>
  <si>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</si>
  <si>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</si>
  <si>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</si>
  <si>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</si>
  <si>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</si>
  <si>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</si>
  <si>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</si>
  <si>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</si>
  <si>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</si>
  <si>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</si>
  <si>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</si>
  <si>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</si>
  <si>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</si>
  <si>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</si>
  <si>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</si>
  <si>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</si>
  <si>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</si>
  <si>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</si>
  <si>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</si>
  <si>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</si>
  <si>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</si>
  <si>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</si>
  <si>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</si>
  <si>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</si>
  <si>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</si>
  <si>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</si>
  <si>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</si>
  <si>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</si>
  <si>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</si>
  <si>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</si>
  <si>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</si>
  <si>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</si>
  <si>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</si>
  <si>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</si>
  <si>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</si>
  <si>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</si>
  <si>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</si>
  <si>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</si>
  <si>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</si>
  <si>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</si>
  <si>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</si>
  <si>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</si>
  <si>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</si>
  <si>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</si>
  <si>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</si>
  <si>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</si>
  <si>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</si>
  <si>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</si>
  <si>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</si>
  <si>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</si>
  <si>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</si>
  <si>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</si>
  <si>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</si>
  <si>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</si>
  <si>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</si>
  <si>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</si>
  <si>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</si>
  <si>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</si>
  <si>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</si>
  <si>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</si>
  <si>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</si>
  <si>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</si>
  <si>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</si>
  <si>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</si>
  <si>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</si>
  <si>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</si>
  <si>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</si>
  <si>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</si>
  <si>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</si>
  <si>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</si>
  <si>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</si>
  <si>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</si>
  <si>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</si>
  <si>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</si>
  <si>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</si>
  <si>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</si>
  <si>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</si>
  <si>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</si>
  <si>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</si>
  <si>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</si>
  <si>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</si>
  <si>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</si>
  <si>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</si>
  <si>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</si>
  <si>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</si>
  <si>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</si>
  <si>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</si>
  <si>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</si>
  <si>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</si>
  <si>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</si>
  <si>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</si>
  <si>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</si>
  <si>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</si>
  <si>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</si>
  <si>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</si>
  <si>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</si>
  <si>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</si>
  <si>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</si>
  <si>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</si>
  <si>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</si>
  <si>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</si>
  <si>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</si>
  <si>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</si>
  <si>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</si>
  <si>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</si>
  <si>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</si>
  <si>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</si>
  <si>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</si>
  <si>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</si>
  <si>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</si>
  <si>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</si>
  <si>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</si>
  <si>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</si>
  <si>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</si>
  <si>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</si>
  <si>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</si>
  <si>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</si>
  <si>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</si>
  <si>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</si>
  <si>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</si>
  <si>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</si>
  <si>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</si>
  <si>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</si>
  <si>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</si>
  <si>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</si>
  <si>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</si>
  <si>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</si>
  <si>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</si>
  <si>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</si>
  <si>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</si>
  <si>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</si>
  <si>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</si>
  <si>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</si>
  <si>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</si>
  <si>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</si>
  <si>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</si>
  <si>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</si>
  <si>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</si>
  <si>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</si>
  <si>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</si>
  <si>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</si>
  <si>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</si>
  <si>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</si>
  <si>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</si>
  <si>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</si>
  <si>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</si>
  <si>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</si>
  <si>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</si>
  <si>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</si>
  <si>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</si>
  <si>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</si>
  <si>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</si>
  <si>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</si>
  <si>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</si>
  <si>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</si>
  <si>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</si>
  <si>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</si>
  <si>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</si>
  <si>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</si>
  <si>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</si>
  <si>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</si>
  <si>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</si>
  <si>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</si>
  <si>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</si>
  <si>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</si>
  <si>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</si>
  <si>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</si>
  <si>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</si>
  <si>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</si>
  <si>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</si>
  <si>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</si>
  <si>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</si>
  <si>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</si>
  <si>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</si>
  <si>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</si>
  <si>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</si>
  <si>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</si>
  <si>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</si>
  <si>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</si>
  <si>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</si>
  <si>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</si>
  <si>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</si>
  <si>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</si>
  <si>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</si>
  <si>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</si>
  <si>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</si>
  <si>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</si>
  <si>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</si>
  <si>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</si>
  <si>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</si>
  <si>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</si>
  <si>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</si>
  <si>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</si>
  <si>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</si>
  <si>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</si>
  <si>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</si>
  <si>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</si>
  <si>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</si>
  <si>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</si>
  <si>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</si>
  <si>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</si>
  <si>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</si>
  <si>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</si>
  <si>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</si>
  <si>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</si>
  <si>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</si>
  <si>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</si>
  <si>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</si>
  <si>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</si>
  <si>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</si>
  <si>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</si>
  <si>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</si>
  <si>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</si>
  <si>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</si>
  <si>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</si>
  <si>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</si>
  <si>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</si>
  <si>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</si>
  <si>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</si>
  <si>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</si>
  <si>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</si>
  <si>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</si>
  <si>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</si>
  <si>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</si>
  <si>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</si>
  <si>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</si>
  <si>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</si>
  <si>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</si>
  <si>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</si>
  <si>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</si>
  <si>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</si>
  <si>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</si>
  <si>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</si>
  <si>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</si>
  <si>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</si>
  <si>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</si>
  <si>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</si>
  <si>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</si>
  <si>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</si>
  <si>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</si>
  <si>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</si>
  <si>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</si>
  <si>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</si>
  <si>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</si>
  <si>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</si>
  <si>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</si>
  <si>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</si>
  <si>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</si>
  <si>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</si>
  <si>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</si>
  <si>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</si>
  <si>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</si>
  <si>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</si>
  <si>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</si>
  <si>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</si>
  <si>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</si>
  <si>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</si>
  <si>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</si>
  <si>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</si>
  <si>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</si>
  <si>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</si>
  <si>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</si>
  <si>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</si>
  <si>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</si>
  <si>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</si>
  <si>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</si>
  <si>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</si>
  <si>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</si>
  <si>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</si>
  <si>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</si>
  <si>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</si>
  <si>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</si>
  <si>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</si>
  <si>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</si>
  <si>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</si>
  <si>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</si>
  <si>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</si>
  <si>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</si>
  <si>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</si>
  <si>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</si>
  <si>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</si>
  <si>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</si>
  <si>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</si>
  <si>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</si>
  <si>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</si>
  <si>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</si>
  <si>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</si>
  <si>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</si>
  <si>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</si>
  <si>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</si>
  <si>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</si>
  <si>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</si>
  <si>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</si>
  <si>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</si>
  <si>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</si>
  <si>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</si>
  <si>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</si>
  <si>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</si>
  <si>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</si>
  <si>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</si>
  <si>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</si>
  <si>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</si>
  <si>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</si>
  <si>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</si>
  <si>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</si>
  <si>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</si>
  <si>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</si>
  <si>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</si>
  <si>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</si>
  <si>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</si>
  <si>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</si>
  <si>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</si>
  <si>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</si>
  <si>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</si>
  <si>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</si>
  <si>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</si>
  <si>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</si>
  <si>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</si>
  <si>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</si>
  <si>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</si>
  <si>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</si>
  <si>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</si>
  <si>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</si>
  <si>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</si>
  <si>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</si>
  <si>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</si>
  <si>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</si>
  <si>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</si>
  <si>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</si>
  <si>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</si>
  <si>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</si>
  <si>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</si>
  <si>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</si>
  <si>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</si>
  <si>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</si>
  <si>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</si>
  <si>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</si>
  <si>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</si>
  <si>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</si>
  <si>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</si>
  <si>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</si>
  <si>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</si>
  <si>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</si>
  <si>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</si>
  <si>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</si>
  <si>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</si>
  <si>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</si>
  <si>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</si>
  <si>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</si>
  <si>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</si>
  <si>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</si>
  <si>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</si>
  <si>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</si>
  <si>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</si>
  <si>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</si>
  <si>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</si>
  <si>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</si>
  <si>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</si>
  <si>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</si>
  <si>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</si>
  <si>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</si>
  <si>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</si>
  <si>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</si>
  <si>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</si>
  <si>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</si>
  <si>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</si>
  <si>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</si>
  <si>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</si>
  <si>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</si>
  <si>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</si>
  <si>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</si>
  <si>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</si>
  <si>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</si>
  <si>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</si>
  <si>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</si>
  <si>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</si>
  <si>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</si>
  <si>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</si>
  <si>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</si>
  <si>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</si>
  <si>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</si>
  <si>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</si>
  <si>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</si>
  <si>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</si>
  <si>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</si>
  <si>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</si>
  <si>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</si>
  <si>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</si>
  <si>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</si>
  <si>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</si>
  <si>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</si>
  <si>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</si>
  <si>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</si>
  <si>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</si>
  <si>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</si>
  <si>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</si>
  <si>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</si>
  <si>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</si>
  <si>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</si>
  <si>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</si>
  <si>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</si>
  <si>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</si>
  <si>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</si>
  <si>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</si>
  <si>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</si>
  <si>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</si>
  <si>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</si>
  <si>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</si>
  <si>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</si>
  <si>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</si>
  <si>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</si>
  <si>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</si>
  <si>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</si>
  <si>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</si>
  <si>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</si>
  <si>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</si>
  <si>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</si>
  <si>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</si>
  <si>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</si>
  <si>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</si>
  <si>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</si>
  <si>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</si>
  <si>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</si>
  <si>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</si>
  <si>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</si>
  <si>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</si>
  <si>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</si>
  <si>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</si>
  <si>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</si>
  <si>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</si>
  <si>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</si>
  <si>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</si>
  <si>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</si>
  <si>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</si>
  <si>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</si>
  <si>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</si>
  <si>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</si>
  <si>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</si>
  <si>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</si>
  <si>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</si>
  <si>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</si>
  <si>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</si>
  <si>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</si>
  <si>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</si>
  <si>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</si>
  <si>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</si>
  <si>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</si>
  <si>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</si>
  <si>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</si>
  <si>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</si>
  <si>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</si>
  <si>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</si>
  <si>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</si>
  <si>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</si>
  <si>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</si>
  <si>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</si>
  <si>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</si>
  <si>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</si>
  <si>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</si>
  <si>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</si>
  <si>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</si>
  <si>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</si>
  <si>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</si>
  <si>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</si>
  <si>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</si>
  <si>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</si>
  <si>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</si>
  <si>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</si>
  <si>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</si>
  <si>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</si>
  <si>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</si>
  <si>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</si>
  <si>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</si>
  <si>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</si>
  <si>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</si>
  <si>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</si>
  <si>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</si>
  <si>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</si>
  <si>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</si>
  <si>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</si>
  <si>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</si>
  <si>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</si>
  <si>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</si>
  <si>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</si>
  <si>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</si>
  <si>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</si>
  <si>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</si>
  <si>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</si>
  <si>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</si>
  <si>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</si>
  <si>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</si>
  <si>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</si>
  <si>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</si>
  <si>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</si>
  <si>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</si>
  <si>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</si>
  <si>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</si>
  <si>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</si>
  <si>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</si>
  <si>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</si>
  <si>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</si>
  <si>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</si>
  <si>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</si>
  <si>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</si>
  <si>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</si>
  <si>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</si>
  <si>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</si>
  <si>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</si>
  <si>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</si>
  <si>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</si>
  <si>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</si>
  <si>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</si>
  <si>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</si>
  <si>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</si>
  <si>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</si>
  <si>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</si>
  <si>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</si>
  <si>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</si>
  <si>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</si>
  <si>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</si>
  <si>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</si>
  <si>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</si>
  <si>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</si>
  <si>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</si>
  <si>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</si>
  <si>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</si>
  <si>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</si>
  <si>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</si>
  <si>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</si>
  <si>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</si>
  <si>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</si>
  <si>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</si>
  <si>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</si>
  <si>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</si>
  <si>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</si>
  <si>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</si>
  <si>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</si>
  <si>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</si>
  <si>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</si>
  <si>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</si>
  <si>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</si>
  <si>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</si>
  <si>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</si>
  <si>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</si>
  <si>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</si>
  <si>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</si>
  <si>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</si>
  <si>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</si>
  <si>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</si>
  <si>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</si>
  <si>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</si>
  <si>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</si>
  <si>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</si>
  <si>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</si>
  <si>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</si>
  <si>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</si>
  <si>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</si>
  <si>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</si>
  <si>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</si>
  <si>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</si>
  <si>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</si>
  <si>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</si>
  <si>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</si>
  <si>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</si>
  <si>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</si>
  <si>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</si>
  <si>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</si>
  <si>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</si>
  <si>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</si>
  <si>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</si>
  <si>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</si>
  <si>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</si>
  <si>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</si>
  <si>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</si>
  <si>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</si>
  <si>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</si>
  <si>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</si>
  <si>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</si>
  <si>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</si>
  <si>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</si>
  <si>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</si>
  <si>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</si>
  <si>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</si>
  <si>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</si>
  <si>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</si>
  <si>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</si>
  <si>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</si>
  <si>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</si>
  <si>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</si>
  <si>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</si>
  <si>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</si>
  <si>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</si>
  <si>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</si>
  <si>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</si>
  <si>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</si>
  <si>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</si>
  <si>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</si>
  <si>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</si>
  <si>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</si>
  <si>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</si>
  <si>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</si>
  <si>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</si>
  <si>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</si>
  <si>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</si>
  <si>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</si>
  <si>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</si>
  <si>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</si>
  <si>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</si>
  <si>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</si>
  <si>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</si>
  <si>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</si>
  <si>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</si>
  <si>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</si>
  <si>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</si>
  <si>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</si>
  <si>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</si>
  <si>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</si>
  <si>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</si>
  <si>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</si>
  <si>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</si>
  <si>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</si>
  <si>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</si>
  <si>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</si>
  <si>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</si>
  <si>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</si>
  <si>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</si>
  <si>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</si>
  <si>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</si>
  <si>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</si>
  <si>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</si>
  <si>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</si>
  <si>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</si>
  <si>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</si>
  <si>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</si>
  <si>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</si>
  <si>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</si>
  <si>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</si>
  <si>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</si>
  <si>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</si>
  <si>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</si>
  <si>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</si>
  <si>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</si>
  <si>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</si>
  <si>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</si>
  <si>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</si>
  <si>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</si>
  <si>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</si>
  <si>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</si>
  <si>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</si>
  <si>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</si>
  <si>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</si>
  <si>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</si>
  <si>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</si>
  <si>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</si>
  <si>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</si>
  <si>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</si>
  <si>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</si>
  <si>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</si>
  <si>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</si>
  <si>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</si>
  <si>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</si>
  <si>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</si>
  <si>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</si>
  <si>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</si>
  <si>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</si>
  <si>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</si>
  <si>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</si>
  <si>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</si>
  <si>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</si>
  <si>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</si>
  <si>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</si>
  <si>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</si>
  <si>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</si>
  <si>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</si>
  <si>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</si>
  <si>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</si>
  <si>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</si>
  <si>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</si>
  <si>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</si>
  <si>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</si>
  <si>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</si>
  <si>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</si>
  <si>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</si>
  <si>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</si>
  <si>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</si>
  <si>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</si>
  <si>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</si>
  <si>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</si>
  <si>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</si>
  <si>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</si>
  <si>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</si>
  <si>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</si>
  <si>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</si>
  <si>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</si>
  <si>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</si>
  <si>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</si>
  <si>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</si>
  <si>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</si>
  <si>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</si>
  <si>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</si>
  <si>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</si>
  <si>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</si>
  <si>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</si>
  <si>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</si>
  <si>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</si>
  <si>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</si>
  <si>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</si>
  <si>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</si>
  <si>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</si>
  <si>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</si>
  <si>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</si>
  <si>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</si>
  <si>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</si>
  <si>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</si>
  <si>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</si>
  <si>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</si>
  <si>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</si>
  <si>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</si>
  <si>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</si>
  <si>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</si>
  <si>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</si>
  <si>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</si>
  <si>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</si>
  <si>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</si>
  <si>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</si>
  <si>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</si>
  <si>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</si>
  <si>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</si>
  <si>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</si>
  <si>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</si>
  <si>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</si>
  <si>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</si>
  <si>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</si>
  <si>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</si>
  <si>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</si>
  <si>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</si>
  <si>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</si>
  <si>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</si>
  <si>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</si>
  <si>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</si>
  <si>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</si>
  <si>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</si>
  <si>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</si>
  <si>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</si>
  <si>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</si>
  <si>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</si>
  <si>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</si>
  <si>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</si>
  <si>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</si>
  <si>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</si>
  <si>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</si>
  <si>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</si>
  <si>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</si>
  <si>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</si>
  <si>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</si>
  <si>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</si>
  <si>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</si>
  <si>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</si>
  <si>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</si>
  <si>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</si>
  <si>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</si>
  <si>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</si>
  <si>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</si>
  <si>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</si>
  <si>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</si>
  <si>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</si>
  <si>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</si>
  <si>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</si>
  <si>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</si>
  <si>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</si>
  <si>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</si>
  <si>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</si>
  <si>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</si>
  <si>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</si>
  <si>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</si>
  <si>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</si>
  <si>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</si>
  <si>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</si>
  <si>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</si>
  <si>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</si>
  <si>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</si>
  <si>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</si>
  <si>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</si>
  <si>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</si>
  <si>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</si>
  <si>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</si>
  <si>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</si>
  <si>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</si>
  <si>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</si>
  <si>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</si>
  <si>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</si>
  <si>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</si>
  <si>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</si>
  <si>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</si>
  <si>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</si>
  <si>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</si>
  <si>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</si>
  <si>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</si>
  <si>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</si>
  <si>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</si>
  <si>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</si>
  <si>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</si>
  <si>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</si>
  <si>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</si>
  <si>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</si>
  <si>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</si>
  <si>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</si>
  <si>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</si>
  <si>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</si>
  <si>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</si>
  <si>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</si>
  <si>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</si>
  <si>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</si>
  <si>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</si>
  <si>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</si>
  <si>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</si>
  <si>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</si>
  <si>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</si>
  <si>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</si>
  <si>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</si>
  <si>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</si>
  <si>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</si>
  <si>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</si>
  <si>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</si>
  <si>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</si>
  <si>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</si>
  <si>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</si>
  <si>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</si>
  <si>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</si>
  <si>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</si>
  <si>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</si>
  <si>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</si>
  <si>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</si>
  <si>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</si>
  <si>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</si>
  <si>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</si>
  <si>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</si>
  <si>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</si>
  <si>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</si>
  <si>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</si>
  <si>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</si>
  <si>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</si>
  <si>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</si>
  <si>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</si>
  <si>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</si>
  <si>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</si>
  <si>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</si>
  <si>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</si>
  <si>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</si>
  <si>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</si>
  <si>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</si>
  <si>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</si>
  <si>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</si>
  <si>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</si>
  <si>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</si>
  <si>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</si>
  <si>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</si>
  <si>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</si>
  <si>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</si>
  <si>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</si>
  <si>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</si>
  <si>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</si>
  <si>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</si>
  <si>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</si>
  <si>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</si>
  <si>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</si>
  <si>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</si>
  <si>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</si>
  <si>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</si>
  <si>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</si>
  <si>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</si>
  <si>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</si>
  <si>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</si>
  <si>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</si>
  <si>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</si>
  <si>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</si>
  <si>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</si>
  <si>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</si>
  <si>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</si>
  <si>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</si>
  <si>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</si>
  <si>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</si>
  <si>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</si>
  <si>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</si>
  <si>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</si>
  <si>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</si>
  <si>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</si>
  <si>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</si>
  <si>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</si>
  <si>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</si>
  <si>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</si>
  <si>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</si>
  <si>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</si>
  <si>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</si>
  <si>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</si>
  <si>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</si>
  <si>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</si>
  <si>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</si>
  <si>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</si>
  <si>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</si>
  <si>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</si>
  <si>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</si>
  <si>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</si>
  <si>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</si>
  <si>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</si>
  <si>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</si>
  <si>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</si>
  <si>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</si>
  <si>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</si>
  <si>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</si>
  <si>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</si>
  <si>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</si>
  <si>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</si>
  <si>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</si>
  <si>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</si>
  <si>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</si>
  <si>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</si>
  <si>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</si>
  <si>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</si>
  <si>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</si>
  <si>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</si>
  <si>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</si>
  <si>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</si>
  <si>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</si>
  <si>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</si>
  <si>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</si>
  <si>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</si>
  <si>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</si>
  <si>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</si>
  <si>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</si>
  <si>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</si>
  <si>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</si>
  <si>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</si>
  <si>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</si>
  <si>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</si>
  <si>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</si>
  <si>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</si>
  <si>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</si>
  <si>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</si>
  <si>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</si>
  <si>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</si>
  <si>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</si>
  <si>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</si>
  <si>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</si>
  <si>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</si>
  <si>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</si>
  <si>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</si>
  <si>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</si>
  <si>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</si>
  <si>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</si>
  <si>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</si>
  <si>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</si>
  <si>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</si>
  <si>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</si>
  <si>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</si>
  <si>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</si>
  <si>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</si>
  <si>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</si>
  <si>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</si>
  <si>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</si>
  <si>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</si>
  <si>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</si>
  <si>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</si>
  <si>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</si>
  <si>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</si>
  <si>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</si>
  <si>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</si>
  <si>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</si>
  <si>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</si>
  <si>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</si>
  <si>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</si>
  <si>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</si>
  <si>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</si>
  <si>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</si>
  <si>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</si>
  <si>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</si>
  <si>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</si>
  <si>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</si>
  <si>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</si>
  <si>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</si>
  <si>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</si>
  <si>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</si>
  <si>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</si>
  <si>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</si>
  <si>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</si>
  <si>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</si>
  <si>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</si>
  <si>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</si>
  <si>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</si>
  <si>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</si>
  <si>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</si>
  <si>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</si>
  <si>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</si>
  <si>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</si>
  <si>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</si>
  <si>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</si>
  <si>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</si>
  <si>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</si>
  <si>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</si>
  <si>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</si>
  <si>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</si>
  <si>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</si>
  <si>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</si>
  <si>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</si>
  <si>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</si>
  <si>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</si>
  <si>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</si>
  <si>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</si>
  <si>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</si>
  <si>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</si>
  <si>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</si>
  <si>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</si>
  <si>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</si>
  <si>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</si>
  <si>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</si>
  <si>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</si>
  <si>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</si>
  <si>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</si>
  <si>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</si>
  <si>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</si>
  <si>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</si>
  <si>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</si>
  <si>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</si>
  <si>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</si>
  <si>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</si>
  <si>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</si>
  <si>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</si>
  <si>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</si>
  <si>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</si>
  <si>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</si>
  <si>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</si>
  <si>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</si>
  <si>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</si>
  <si>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</si>
  <si>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</si>
  <si>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</si>
  <si>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</si>
  <si>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</si>
  <si>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</si>
  <si>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</si>
  <si>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</si>
  <si>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</si>
  <si>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</si>
  <si>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</si>
  <si>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</si>
  <si>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</si>
  <si>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</si>
  <si>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</si>
  <si>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</si>
  <si>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</si>
  <si>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</si>
  <si>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</si>
  <si>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</si>
  <si>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</si>
  <si>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</si>
  <si>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</si>
  <si>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</si>
  <si>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</si>
  <si>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</si>
  <si>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</si>
  <si>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</si>
  <si>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</si>
  <si>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</si>
  <si>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</si>
  <si>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</si>
  <si>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</si>
  <si>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</si>
  <si>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</si>
  <si>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</si>
  <si>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</si>
  <si>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</si>
  <si>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</si>
  <si>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</si>
  <si>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</si>
  <si>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</si>
  <si>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</si>
  <si>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</si>
  <si>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</si>
  <si>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</si>
  <si>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</si>
  <si>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</si>
  <si>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</si>
  <si>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</si>
  <si>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</si>
  <si>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</si>
  <si>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</si>
  <si>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</si>
  <si>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</si>
  <si>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</si>
  <si>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</si>
  <si>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</si>
  <si>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</si>
  <si>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</si>
  <si>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</si>
  <si>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</si>
  <si>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</si>
  <si>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</si>
  <si>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</si>
  <si>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</si>
  <si>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</si>
  <si>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</si>
  <si>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</si>
  <si>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</si>
  <si>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</si>
  <si>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</si>
  <si>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</si>
  <si>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</si>
  <si>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</si>
  <si>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</si>
  <si>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</si>
  <si>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</si>
  <si>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</si>
  <si>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</si>
  <si>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</si>
  <si>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</si>
  <si>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</si>
  <si>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</si>
  <si>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</si>
  <si>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</si>
  <si>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</si>
  <si>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</si>
  <si>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</si>
  <si>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</si>
  <si>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</si>
  <si>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</si>
  <si>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</si>
  <si>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</si>
  <si>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</si>
  <si>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</si>
  <si>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</si>
  <si>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</si>
  <si>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</si>
  <si>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</si>
  <si>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</si>
  <si>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</si>
  <si>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</si>
  <si>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</si>
  <si>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</si>
  <si>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</si>
  <si>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</si>
  <si>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</si>
  <si>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</si>
  <si>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</si>
  <si>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</si>
  <si>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</si>
  <si>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</si>
  <si>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</si>
  <si>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</si>
  <si>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</si>
  <si>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</si>
  <si>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</si>
  <si>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</si>
  <si>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</si>
  <si>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</si>
  <si>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</si>
  <si>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</si>
  <si>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</si>
  <si>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</si>
  <si>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</si>
  <si>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</si>
  <si>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</si>
  <si>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</si>
  <si>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</si>
  <si>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</si>
  <si>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</si>
  <si>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</si>
  <si>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</si>
  <si>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</si>
  <si>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</si>
  <si>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</si>
  <si>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</si>
  <si>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</si>
  <si>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</si>
  <si>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</si>
  <si>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</si>
  <si>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</si>
  <si>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</si>
  <si>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</si>
  <si>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</si>
  <si>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</si>
  <si>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</si>
  <si>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</si>
  <si>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</si>
  <si>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</si>
  <si>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</si>
  <si>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</si>
  <si>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</si>
  <si>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</si>
  <si>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</si>
  <si>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</si>
  <si>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</si>
  <si>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</si>
  <si>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</si>
  <si>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</si>
  <si>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</si>
  <si>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</si>
  <si>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</si>
  <si>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</si>
  <si>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</si>
  <si>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</si>
  <si>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</si>
  <si>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</si>
  <si>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</si>
  <si>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</si>
  <si>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</si>
  <si>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</si>
  <si>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</si>
  <si>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</si>
  <si>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</si>
  <si>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</si>
  <si>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</si>
  <si>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</si>
  <si>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</si>
  <si>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</si>
  <si>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</si>
  <si>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</si>
  <si>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</si>
  <si>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</si>
  <si>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</si>
  <si>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</si>
  <si>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</si>
  <si>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</si>
  <si>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</si>
  <si>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</si>
  <si>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</si>
  <si>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</si>
  <si>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</si>
  <si>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</si>
  <si>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</si>
  <si>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</si>
  <si>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</si>
  <si>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</si>
  <si>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</si>
  <si>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</si>
  <si>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</si>
  <si>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</si>
  <si>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</si>
  <si>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</si>
  <si>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</si>
  <si>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</si>
  <si>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</si>
  <si>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</si>
  <si>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</si>
  <si>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</si>
  <si>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</si>
  <si>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</si>
  <si>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</si>
  <si>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</si>
  <si>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</si>
  <si>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</si>
  <si>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</si>
  <si>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</si>
  <si>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</si>
  <si>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</si>
  <si>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</si>
  <si>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</si>
  <si>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</si>
  <si>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</si>
  <si>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</si>
  <si>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</si>
  <si>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</si>
  <si>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</si>
  <si>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</si>
  <si>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</si>
  <si>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</si>
  <si>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</si>
  <si>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</si>
  <si>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</si>
  <si>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</si>
  <si>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</si>
  <si>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</si>
  <si>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</si>
  <si>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</si>
  <si>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</si>
  <si>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</si>
  <si>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</si>
  <si>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</si>
  <si>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</si>
  <si>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</si>
  <si>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</si>
  <si>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</si>
  <si>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</si>
  <si>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</si>
  <si>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</si>
  <si>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</si>
  <si>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</si>
  <si>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</si>
  <si>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</si>
  <si>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</si>
  <si>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</si>
  <si>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</si>
  <si>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</si>
  <si>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</si>
  <si>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</si>
  <si>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</si>
  <si>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</si>
  <si>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</si>
  <si>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</si>
  <si>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</si>
  <si>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</si>
  <si>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</si>
  <si>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</si>
  <si>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</si>
  <si>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</si>
  <si>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</si>
  <si>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</si>
  <si>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</si>
  <si>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</si>
  <si>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</si>
  <si>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</si>
  <si>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</si>
  <si>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</si>
  <si>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</si>
  <si>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</si>
  <si>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</si>
  <si>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</si>
  <si>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</si>
  <si>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</si>
  <si>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</si>
  <si>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</si>
  <si>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</si>
  <si>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</si>
  <si>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</si>
  <si>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</si>
  <si>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</si>
  <si>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</si>
  <si>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</si>
  <si>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</si>
  <si>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</si>
  <si>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</si>
  <si>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</si>
  <si>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</si>
  <si>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</si>
  <si>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</si>
  <si>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</si>
  <si>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</si>
  <si>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</si>
  <si>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</si>
  <si>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</si>
  <si>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</si>
  <si>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</si>
  <si>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</si>
  <si>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</si>
  <si>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</si>
  <si>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</si>
  <si>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</si>
  <si>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</si>
  <si>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</si>
  <si>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</si>
  <si>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</si>
  <si>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</si>
  <si>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</si>
  <si>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</si>
  <si>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</si>
  <si>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</si>
  <si>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</si>
  <si>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</si>
  <si>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</si>
  <si>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</si>
  <si>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</si>
  <si>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</si>
  <si>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</si>
  <si>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</si>
  <si>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</si>
  <si>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</si>
  <si>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</si>
  <si>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</si>
  <si>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</si>
  <si>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</si>
  <si>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</si>
  <si>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</si>
  <si>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</si>
  <si>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</si>
  <si>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</si>
  <si>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</si>
  <si>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</si>
  <si>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</si>
  <si>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</si>
  <si>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</si>
  <si>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</si>
  <si>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</si>
  <si>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</si>
  <si>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</si>
  <si>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</si>
  <si>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</si>
  <si>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</si>
  <si>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</si>
  <si>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</si>
  <si>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</si>
  <si>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</si>
  <si>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</si>
  <si>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</si>
  <si>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</si>
  <si>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</si>
  <si>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</si>
  <si>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</si>
  <si>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</si>
  <si>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</si>
  <si>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</si>
  <si>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</si>
  <si>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</si>
  <si>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</si>
  <si>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</si>
  <si>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</si>
  <si>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</si>
  <si>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</si>
  <si>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</si>
  <si>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</si>
  <si>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</si>
  <si>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</si>
  <si>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</si>
  <si>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</si>
  <si>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</si>
  <si>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</si>
  <si>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</si>
  <si>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</si>
  <si>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</si>
  <si>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</si>
  <si>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</si>
  <si>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</si>
  <si>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</si>
  <si>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</si>
  <si>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</si>
  <si>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</si>
  <si>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</si>
  <si>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</si>
  <si>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</si>
  <si>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</si>
  <si>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</si>
  <si>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</si>
  <si>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</si>
  <si>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</si>
  <si>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</si>
  <si>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</si>
  <si>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</si>
  <si>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</si>
  <si>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</si>
  <si>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</si>
  <si>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</si>
  <si>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</si>
  <si>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</si>
  <si>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</si>
  <si>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</si>
  <si>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</si>
  <si>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</si>
  <si>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</si>
  <si>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</si>
  <si>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</si>
  <si>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</si>
  <si>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</si>
  <si>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</si>
  <si>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</si>
  <si>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</si>
  <si>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</si>
  <si>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</si>
  <si>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</si>
  <si>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</si>
  <si>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</si>
  <si>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</si>
  <si>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</si>
  <si>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</si>
  <si>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</si>
  <si>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</si>
  <si>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</si>
  <si>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</si>
  <si>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</si>
  <si>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</si>
  <si>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</si>
  <si>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</si>
  <si>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</si>
  <si>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</si>
  <si>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</si>
  <si>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</si>
  <si>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</si>
  <si>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</si>
  <si>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</si>
  <si>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</si>
  <si>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</si>
  <si>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</si>
  <si>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</si>
  <si>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</si>
  <si>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</si>
  <si>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</si>
  <si>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</si>
  <si>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</si>
  <si>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</si>
  <si>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</si>
  <si>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</si>
  <si>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</si>
  <si>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</si>
  <si>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</si>
  <si>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</si>
  <si>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</si>
  <si>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</si>
  <si>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</si>
  <si>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</si>
  <si>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</si>
  <si>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</si>
  <si>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</si>
  <si>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</si>
  <si>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</si>
  <si>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</si>
  <si>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</si>
  <si>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</si>
  <si>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</si>
  <si>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</si>
  <si>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</si>
  <si>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</si>
  <si>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</si>
  <si>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</si>
  <si>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</si>
  <si>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</si>
  <si>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</si>
  <si>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</si>
  <si>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</si>
  <si>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</si>
  <si>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</si>
  <si>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</si>
  <si>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</si>
  <si>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</si>
  <si>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</si>
  <si>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</si>
  <si>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</si>
  <si>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</si>
  <si>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</si>
  <si>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</si>
  <si>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</si>
  <si>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</si>
  <si>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</si>
  <si>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</si>
  <si>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</si>
  <si>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</si>
  <si>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</si>
  <si>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</si>
  <si>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</si>
  <si>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</si>
  <si>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</si>
  <si>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</si>
  <si>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</si>
  <si>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</si>
  <si>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</si>
  <si>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</si>
  <si>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</si>
  <si>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</si>
  <si>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</si>
  <si>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</si>
  <si>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</si>
  <si>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</si>
  <si>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</si>
  <si>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</si>
  <si>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</si>
  <si>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</si>
  <si>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</si>
  <si>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</si>
  <si>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</si>
  <si>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</si>
  <si>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</si>
  <si>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</si>
  <si>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</si>
  <si>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</si>
  <si>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</si>
  <si>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</si>
  <si>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</si>
  <si>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</si>
  <si>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</si>
  <si>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</si>
  <si>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</si>
  <si>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</si>
  <si>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</si>
  <si>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</si>
  <si>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</si>
  <si>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</si>
  <si>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</si>
  <si>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</si>
  <si>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</si>
  <si>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</si>
  <si>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</si>
  <si>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</si>
  <si>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</si>
  <si>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</si>
  <si>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</si>
  <si>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</si>
  <si>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</si>
  <si>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</si>
  <si>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</si>
  <si>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</si>
  <si>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</si>
  <si>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</si>
  <si>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</si>
  <si>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</si>
  <si>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</si>
  <si>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</si>
  <si>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</si>
  <si>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</si>
  <si>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</si>
  <si>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</si>
  <si>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</si>
  <si>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</si>
  <si>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</si>
  <si>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</si>
  <si>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</si>
  <si>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</si>
  <si>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</si>
  <si>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</si>
  <si>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</si>
  <si>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</si>
  <si>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</si>
  <si>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</si>
  <si>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</si>
  <si>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</si>
  <si>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</si>
  <si>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</si>
  <si>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</si>
  <si>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</si>
  <si>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</si>
  <si>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</si>
  <si>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</si>
  <si>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</si>
  <si>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</si>
  <si>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</si>
  <si>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</si>
  <si>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</si>
  <si>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</si>
  <si>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</si>
  <si>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</si>
  <si>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</si>
  <si>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</si>
  <si>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</si>
  <si>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</si>
  <si>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</si>
  <si>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</si>
  <si>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</si>
  <si>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</si>
  <si>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</si>
  <si>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</si>
  <si>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</si>
  <si>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</si>
  <si>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</si>
  <si>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</si>
  <si>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</si>
  <si>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</si>
  <si>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</si>
  <si>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</si>
  <si>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</si>
  <si>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</si>
  <si>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</si>
  <si>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</si>
  <si>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</si>
  <si>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</si>
  <si>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</si>
  <si>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</si>
  <si>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</si>
  <si>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</si>
  <si>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</si>
  <si>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</si>
  <si>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</si>
  <si>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</si>
  <si>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</si>
  <si>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</si>
  <si>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</si>
  <si>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</si>
  <si>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</si>
  <si>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</si>
  <si>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</si>
  <si>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</si>
  <si>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</si>
  <si>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</si>
  <si>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</si>
  <si>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</si>
  <si>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</si>
  <si>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</si>
  <si>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</si>
  <si>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</si>
  <si>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</si>
  <si>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</si>
  <si>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</si>
  <si>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</si>
  <si>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</si>
  <si>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</si>
  <si>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</si>
  <si>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</si>
  <si>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</si>
  <si>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</si>
  <si>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</si>
  <si>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</si>
  <si>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</si>
  <si>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</si>
  <si>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</si>
  <si>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</si>
  <si>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</si>
  <si>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</si>
  <si>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</si>
  <si>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</si>
  <si>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</si>
  <si>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</si>
  <si>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</si>
  <si>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</si>
  <si>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</si>
  <si>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</si>
  <si>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</si>
  <si>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</si>
  <si>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</si>
  <si>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</si>
  <si>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</si>
  <si>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</si>
  <si>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</si>
  <si>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</si>
  <si>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</si>
  <si>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</si>
  <si>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</si>
  <si>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</si>
  <si>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</si>
  <si>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</si>
  <si>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</si>
  <si>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</si>
  <si>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</si>
  <si>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</si>
  <si>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</si>
  <si>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</si>
  <si>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</si>
  <si>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</si>
  <si>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</si>
  <si>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</si>
  <si>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</si>
  <si>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</si>
  <si>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</si>
  <si>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</si>
  <si>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</si>
  <si>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</si>
  <si>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</si>
  <si>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</si>
  <si>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</si>
  <si>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</si>
  <si>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</si>
  <si>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</si>
  <si>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</si>
  <si>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</si>
  <si>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</si>
  <si>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</si>
  <si>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</si>
  <si>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</si>
  <si>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</si>
  <si>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</si>
  <si>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</si>
  <si>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</si>
  <si>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</si>
  <si>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</si>
  <si>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</si>
  <si>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</si>
  <si>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</si>
  <si>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</si>
  <si>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</si>
  <si>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</si>
  <si>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</si>
  <si>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</si>
  <si>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</si>
  <si>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</si>
  <si>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</si>
  <si>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</si>
  <si>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</si>
  <si>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</si>
  <si>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</si>
  <si>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</si>
  <si>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</si>
  <si>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</si>
  <si>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</si>
  <si>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</si>
  <si>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</si>
  <si>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</si>
  <si>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</si>
  <si>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</si>
  <si>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</si>
  <si>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</si>
  <si>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</si>
  <si>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</si>
  <si>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</si>
  <si>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</si>
  <si>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</si>
  <si>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</si>
  <si>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</si>
  <si>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</si>
  <si>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</si>
  <si>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</si>
  <si>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</si>
  <si>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</si>
  <si>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</si>
  <si>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</si>
  <si>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</si>
  <si>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</si>
  <si>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</si>
  <si>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</si>
  <si>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</si>
  <si>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</si>
  <si>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</si>
  <si>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</si>
  <si>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</si>
  <si>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</si>
  <si>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</si>
  <si>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</si>
  <si>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</si>
  <si>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</si>
  <si>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</si>
  <si>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</si>
  <si>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</si>
  <si>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</si>
  <si>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</si>
  <si>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</si>
  <si>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</si>
  <si>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</si>
  <si>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</si>
  <si>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</si>
  <si>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</si>
  <si>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</si>
  <si>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</si>
  <si>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</si>
  <si>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</si>
  <si>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</si>
  <si>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</si>
  <si>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</si>
  <si>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</si>
  <si>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</si>
  <si>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</si>
  <si>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</si>
  <si>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</si>
  <si>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</si>
  <si>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</si>
  <si>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</si>
  <si>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</si>
  <si>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</si>
  <si>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</si>
  <si>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</si>
  <si>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</si>
  <si>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</si>
  <si>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</si>
  <si>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</si>
  <si>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</si>
  <si>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</si>
  <si>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</si>
  <si>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</si>
  <si>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</si>
  <si>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</si>
  <si>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</si>
  <si>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</si>
  <si>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</si>
  <si>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</si>
  <si>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</si>
  <si>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</si>
  <si>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</si>
  <si>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</si>
  <si>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</si>
  <si>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</si>
  <si>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</si>
  <si>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</si>
  <si>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</si>
  <si>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</si>
  <si>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</si>
  <si>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</si>
  <si>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</si>
  <si>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</si>
  <si>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</si>
  <si>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</si>
  <si>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</si>
  <si>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</si>
  <si>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</si>
  <si>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</si>
  <si>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</si>
  <si>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</si>
  <si>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</si>
  <si>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</si>
  <si>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</si>
  <si>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</si>
  <si>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</si>
  <si>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</si>
  <si>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</si>
  <si>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</si>
  <si>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</si>
  <si>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</si>
  <si>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</si>
  <si>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</si>
  <si>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</si>
  <si>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</si>
  <si>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</si>
  <si>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</si>
  <si>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</si>
  <si>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</si>
  <si>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</si>
  <si>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</si>
  <si>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</si>
  <si>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</si>
  <si>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</si>
  <si>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</si>
  <si>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</si>
  <si>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</si>
  <si>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</si>
  <si>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</si>
  <si>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</si>
  <si>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</si>
  <si>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</si>
  <si>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</si>
  <si>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</si>
  <si>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</si>
  <si>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</si>
  <si>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</si>
  <si>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</si>
  <si>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</si>
  <si>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</si>
  <si>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</si>
  <si>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</si>
  <si>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</si>
  <si>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</si>
  <si>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</si>
  <si>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</si>
  <si>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</si>
  <si>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</si>
  <si>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</si>
  <si>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</si>
  <si>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</si>
  <si>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</si>
  <si>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</si>
  <si>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</si>
  <si>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</si>
  <si>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</si>
  <si>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</si>
  <si>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</si>
  <si>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</si>
  <si>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</si>
  <si>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</si>
  <si>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</si>
  <si>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</si>
  <si>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</si>
  <si>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</si>
  <si>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</si>
  <si>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</si>
  <si>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</si>
  <si>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</si>
  <si>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</si>
  <si>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</si>
  <si>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</si>
  <si>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</si>
  <si>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</si>
  <si>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</si>
  <si>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</si>
  <si>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</si>
  <si>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</si>
  <si>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</si>
  <si>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</si>
  <si>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</si>
  <si>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</si>
  <si>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</si>
  <si>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</si>
  <si>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</si>
  <si>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</si>
  <si>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</si>
  <si>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</si>
  <si>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</si>
  <si>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</si>
  <si>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</si>
  <si>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</si>
  <si>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</si>
  <si>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</si>
  <si>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</si>
  <si>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</si>
  <si>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</si>
  <si>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</si>
  <si>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</si>
  <si>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</si>
  <si>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</si>
  <si>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</si>
  <si>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</si>
  <si>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</si>
  <si>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</si>
  <si>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</si>
  <si>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</si>
  <si>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</si>
  <si>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</si>
  <si>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</si>
  <si>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</si>
  <si>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</si>
  <si>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</si>
  <si>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</si>
  <si>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</si>
  <si>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</si>
  <si>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</si>
  <si>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</si>
  <si>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</si>
  <si>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</si>
  <si>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</si>
  <si>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</si>
  <si>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</si>
  <si>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</si>
  <si>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</si>
  <si>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</si>
  <si>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</si>
  <si>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</si>
  <si>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</si>
  <si>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</si>
  <si>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</si>
  <si>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序号</t>
    <phoneticPr fontId="134" type="noConversion"/>
  </si>
  <si>
    <t>坐落</t>
    <phoneticPr fontId="134" type="noConversion"/>
  </si>
  <si>
    <t>证号</t>
    <phoneticPr fontId="134" type="noConversion"/>
  </si>
  <si>
    <t>面积</t>
    <phoneticPr fontId="134" type="noConversion"/>
  </si>
  <si>
    <t>用途</t>
    <phoneticPr fontId="134" type="noConversion"/>
  </si>
  <si>
    <t>朝向</t>
    <phoneticPr fontId="134" type="noConversion"/>
  </si>
  <si>
    <t>北京市昌平区回南路9号院28号楼9层901号</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</si>
  <si>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</si>
  <si>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</si>
  <si>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</si>
  <si>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</si>
  <si>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办公</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</si>
  <si>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</si>
  <si>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</si>
  <si>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</si>
  <si>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</si>
  <si>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</si>
  <si>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京（2019）昌不动产权第0007770号</t>
    <phoneticPr fontId="134" type="noConversion"/>
  </si>
  <si>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</si>
  <si>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</si>
  <si>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</si>
  <si>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</si>
  <si>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</si>
  <si>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</si>
  <si>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</si>
  <si>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</si>
  <si>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</si>
  <si>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</si>
  <si>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</si>
  <si>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</si>
  <si>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</si>
  <si>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</si>
  <si>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</si>
  <si>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</si>
  <si>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</si>
  <si>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</si>
  <si>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</si>
  <si>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</si>
  <si>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</si>
  <si>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</si>
  <si>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phoneticPr fontId="134" type="noConversion"/>
  </si>
  <si>
    <t>成新度</t>
  </si>
  <si>
    <t>收益法 (元)</t>
  </si>
  <si>
    <t>利息：取LPR加浮动点数</t>
  </si>
  <si>
    <t>押一</t>
  </si>
  <si>
    <t>钢混</t>
  </si>
  <si>
    <t>非生产用房</t>
  </si>
  <si>
    <t>正常</t>
  </si>
  <si>
    <t>正常</t>
    <phoneticPr fontId="31" type="noConversion"/>
  </si>
  <si>
    <t>正常</t>
    <phoneticPr fontId="31" type="noConversion"/>
  </si>
  <si>
    <t>单套模式</t>
  </si>
  <si>
    <t>售价</t>
  </si>
  <si>
    <t>楼面单价</t>
  </si>
  <si>
    <t>比较法-办公</t>
  </si>
  <si>
    <r>
      <t>果栋l</t>
    </r>
    <r>
      <rPr>
        <sz val="11"/>
        <color theme="1"/>
        <rFont val="宋体"/>
        <family val="3"/>
        <charset val="134"/>
        <scheme val="minor"/>
      </rPr>
      <t>oft</t>
    </r>
    <phoneticPr fontId="134" type="noConversion"/>
  </si>
  <si>
    <t>面积</t>
    <phoneticPr fontId="134" type="noConversion"/>
  </si>
  <si>
    <t>单价</t>
    <phoneticPr fontId="134" type="noConversion"/>
  </si>
  <si>
    <t>楼层</t>
    <phoneticPr fontId="134" type="noConversion"/>
  </si>
  <si>
    <t>中区</t>
    <phoneticPr fontId="134" type="noConversion"/>
  </si>
  <si>
    <t>中区</t>
    <phoneticPr fontId="31" type="noConversion"/>
  </si>
  <si>
    <t>中区</t>
    <phoneticPr fontId="31" type="noConversion"/>
  </si>
  <si>
    <t>高区</t>
    <phoneticPr fontId="31" type="noConversion"/>
  </si>
  <si>
    <t>高区</t>
    <phoneticPr fontId="31" type="noConversion"/>
  </si>
  <si>
    <t>低区</t>
    <phoneticPr fontId="31" type="noConversion"/>
  </si>
  <si>
    <t>精装</t>
    <phoneticPr fontId="31" type="noConversion"/>
  </si>
  <si>
    <t>普装</t>
    <phoneticPr fontId="31" type="noConversion"/>
  </si>
  <si>
    <t>简装</t>
    <phoneticPr fontId="31" type="noConversion"/>
  </si>
  <si>
    <t>毛坯</t>
    <phoneticPr fontId="31"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</si>
  <si>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</si>
  <si>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</si>
  <si>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</si>
  <si>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</si>
  <si>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</si>
  <si>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</si>
  <si>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</si>
  <si>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r>
      <rPr>
        <sz val="10"/>
        <color theme="1"/>
        <rFont val="宋体"/>
        <family val="3"/>
        <charset val="134"/>
      </rPr>
      <t>合计</t>
    </r>
    <phoneticPr fontId="134" type="noConversion"/>
  </si>
  <si>
    <t>情况4</t>
  </si>
  <si>
    <t>转让取得</t>
  </si>
  <si>
    <t>非个人房产</t>
  </si>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</sst>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0" fillId="5" borderId="0" xfId="0"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1-1-0668-F01DYGJ2&#21271;&#20140;&#24066;&#26124;&#24179;&#21306;&#22238;&#21335;&#36335;9&#21495;&#38498;28&#21495;&#27004;9&#23618;901&#21495;&#31561;16&#22871;&#21150;&#2084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sheetData sheetId="14"/>
      <sheetData sheetId="15"/>
      <sheetData sheetId="16"/>
      <sheetData sheetId="17"/>
      <sheetData sheetId="18"/>
      <sheetData sheetId="19"/>
      <sheetData sheetId="20"/>
      <sheetData sheetId="21">
        <row r="27">
          <cell r="B27">
            <v>229.53</v>
          </cell>
        </row>
        <row r="28">
          <cell r="B28">
            <v>89.91</v>
          </cell>
        </row>
        <row r="29">
          <cell r="B29">
            <v>111.32</v>
          </cell>
        </row>
        <row r="30">
          <cell r="B30">
            <v>92.76</v>
          </cell>
        </row>
        <row r="31">
          <cell r="B31">
            <v>111.44</v>
          </cell>
        </row>
        <row r="32">
          <cell r="B32">
            <v>91.17</v>
          </cell>
        </row>
        <row r="33">
          <cell r="B33">
            <v>111.05</v>
          </cell>
        </row>
        <row r="34">
          <cell r="B34">
            <v>91.97</v>
          </cell>
        </row>
        <row r="35">
          <cell r="B35">
            <v>113.63</v>
          </cell>
        </row>
        <row r="36">
          <cell r="B36">
            <v>91.97</v>
          </cell>
        </row>
        <row r="37">
          <cell r="B37">
            <v>104.95</v>
          </cell>
        </row>
        <row r="38">
          <cell r="B38">
            <v>88.79</v>
          </cell>
        </row>
        <row r="39">
          <cell r="B39">
            <v>84.75</v>
          </cell>
        </row>
        <row r="40">
          <cell r="B40">
            <v>77.17</v>
          </cell>
        </row>
        <row r="41">
          <cell r="B41">
            <v>84.11</v>
          </cell>
        </row>
        <row r="42">
          <cell r="B42">
            <v>67.489999999999995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估价对象为北京市房地产,属开发建设的，该项目尚在开发建设中。根据《国有土地使用证》[]，估价对象（分摊）出让国有建设用地使用权面积为0平方米，规划建筑面积为229.53平方米。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2023年1月4日</v>
      </c>
    </row>
    <row r="13" spans="1:2" s="1202" customFormat="1">
      <c r="A13" s="1200" t="s">
        <v>529</v>
      </c>
      <c r="B13" s="1201"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661</v>
      </c>
    </row>
    <row r="21" spans="1:2" s="1202" customFormat="1">
      <c r="A21" s="1200" t="s">
        <v>537</v>
      </c>
      <c r="B21" s="1201">
        <f ca="1">'预评函-2'!D7</f>
        <v>28807</v>
      </c>
    </row>
    <row r="22" spans="1:2" s="1202" customFormat="1">
      <c r="A22" s="1200" t="s">
        <v>538</v>
      </c>
      <c r="B22" s="1201" t="str">
        <f ca="1">'预评函-2'!D6</f>
        <v>陆佰陆拾壹万元整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661</v>
      </c>
    </row>
    <row r="31" spans="1:2" s="1202" customFormat="1">
      <c r="A31" s="1200" t="s">
        <v>576</v>
      </c>
      <c r="B31" s="1201">
        <f ca="1">'预评函-2'!D15</f>
        <v>28807</v>
      </c>
    </row>
    <row r="32" spans="1:2" s="1202" customFormat="1">
      <c r="A32" s="1200" t="s">
        <v>543</v>
      </c>
      <c r="B32" s="1201" t="str">
        <f ca="1">'预评函-2'!D14</f>
        <v>陆佰陆拾壹万元整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280</v>
      </c>
    </row>
    <row r="39" spans="1:2" s="1202" customFormat="1">
      <c r="A39" s="1200" t="s">
        <v>545</v>
      </c>
      <c r="B39" s="1201">
        <f ca="1">'预评函-2'!D21</f>
        <v>12199</v>
      </c>
    </row>
    <row r="40" spans="1:2" s="1202" customFormat="1">
      <c r="A40" s="1200" t="s">
        <v>546</v>
      </c>
      <c r="B40" s="1201" t="str">
        <f ca="1">'预评函-2'!D20</f>
        <v>贰佰捌拾万元整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12" t="s">
        <v>2582</v>
      </c>
      <c r="J2" s="3512"/>
      <c r="K2" s="3512"/>
      <c r="L2" s="3512"/>
      <c r="M2" s="3512"/>
      <c r="N2" s="3512"/>
      <c r="O2" s="3512"/>
      <c r="P2" s="3512"/>
      <c r="Q2" s="3512"/>
      <c r="R2" s="3512"/>
    </row>
    <row r="3" spans="1:18">
      <c r="A3" s="3019" t="s">
        <v>2503</v>
      </c>
      <c r="B3" s="3020">
        <f>项目基本情况!D3</f>
        <v>44930</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3.95</v>
      </c>
      <c r="D5" s="3024">
        <f>IF(ISERROR(ROUND(POWER(1+E5,A5-C5)*(POWER(1+E5,C5)-1)/(POWER(1+E5,A5)-1),3)),0,ROUND(POWER(1+E5,A5-C5)*(POWER(1+E5,C5)-1)/(POWER(1+E5,A5)-1),4))</f>
        <v>0.18129999999999999</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44930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24"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5"/>
      <c r="E9" s="2393" t="s">
        <v>587</v>
      </c>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c r="E13" s="855">
        <v>57911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35.56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31"/>
      <c r="C16" s="3532"/>
      <c r="D16" s="3533"/>
      <c r="E16" s="2412" t="s">
        <v>2193</v>
      </c>
      <c r="F16" s="3534"/>
      <c r="G16" s="3535"/>
      <c r="H16" s="3535"/>
      <c r="I16" s="3536"/>
      <c r="J16" s="2438"/>
      <c r="K16" s="2616"/>
      <c r="L16" s="2450"/>
      <c r="M16" s="2450"/>
      <c r="N16" s="2508"/>
      <c r="O16" s="2450"/>
      <c r="P16" s="2508"/>
      <c r="Q16" s="2438"/>
      <c r="R16" s="2438"/>
    </row>
    <row r="17" spans="1:28">
      <c r="A17" s="313" t="s">
        <v>2194</v>
      </c>
      <c r="B17" s="302" t="s">
        <v>2195</v>
      </c>
      <c r="C17" s="8">
        <f>'数据-汇总表'!E3</f>
        <v>229.53</v>
      </c>
      <c r="D17" s="2321" t="s">
        <v>2196</v>
      </c>
      <c r="E17" s="3537" t="s">
        <v>2197</v>
      </c>
      <c r="F17" s="3538"/>
      <c r="G17" s="3538"/>
      <c r="H17" s="3538"/>
      <c r="I17" s="353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0" t="s">
        <v>2201</v>
      </c>
      <c r="F18" s="3541"/>
      <c r="G18" s="3541"/>
      <c r="H18" s="3541"/>
      <c r="I18" s="354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7" t="s">
        <v>2205</v>
      </c>
      <c r="C20" s="3528"/>
      <c r="D20" s="3529" t="s">
        <v>2206</v>
      </c>
      <c r="E20" s="3530"/>
      <c r="F20" s="2646" t="s">
        <v>1056</v>
      </c>
      <c r="G20" s="2663"/>
      <c r="H20" s="2663"/>
      <c r="I20" s="2663"/>
      <c r="J20" s="2438"/>
      <c r="K20" s="352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2217</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3" t="s">
        <v>2227</v>
      </c>
      <c r="T34" s="2427" t="str">
        <f>NUMBERSTRING(7-K34,1)&amp;"通"</f>
        <v>七通</v>
      </c>
      <c r="U34" s="2438"/>
      <c r="V34" s="2438"/>
    </row>
    <row r="35" spans="1:30">
      <c r="A35" s="2428"/>
      <c r="B35" s="3520" t="s">
        <v>2228</v>
      </c>
      <c r="C35" s="3520"/>
      <c r="D35" s="3520"/>
      <c r="E35" s="352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229.53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229.53</v>
      </c>
      <c r="H13" s="17">
        <f>SUMIF(I$12:AB$12,"总值",I13:AB13)</f>
        <v>229.53</v>
      </c>
      <c r="I13" s="1625">
        <f>面积清单!C3</f>
        <v>229.53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229.53</v>
      </c>
      <c r="BA13" s="13">
        <f>SUM(BB13:BK13)</f>
        <v>229.53</v>
      </c>
      <c r="BB13" s="13">
        <f>IF($D13="是",I13-J13,0)</f>
        <v>229.53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2" t="s">
        <v>1131</v>
      </c>
      <c r="B2" s="3552"/>
      <c r="C2" s="3552"/>
      <c r="D2" s="795" t="s">
        <v>1107</v>
      </c>
      <c r="E2" s="1638" t="s">
        <v>1108</v>
      </c>
      <c r="F2" s="2658"/>
      <c r="G2" s="2649"/>
      <c r="H2" s="2650"/>
      <c r="I2" s="2324" t="s">
        <v>1132</v>
      </c>
      <c r="J2" s="2658"/>
      <c r="K2" s="2658"/>
      <c r="L2" s="2658"/>
      <c r="M2" s="2658"/>
      <c r="N2" s="2660"/>
      <c r="O2" s="2658"/>
      <c r="P2" s="2658"/>
    </row>
    <row r="3" spans="1:16" ht="15.75" thickBot="1">
      <c r="A3" s="3553" t="s">
        <v>1105</v>
      </c>
      <c r="B3" s="3553"/>
      <c r="C3" s="3553"/>
      <c r="D3" s="43">
        <f>'数据-基础表'!AY6</f>
        <v>0</v>
      </c>
      <c r="E3" s="43">
        <f>'数据-基础表'!AZ5</f>
        <v>229.53</v>
      </c>
      <c r="F3" s="2658"/>
      <c r="G3" s="1144"/>
      <c r="H3" s="1025" t="s">
        <v>1106</v>
      </c>
      <c r="I3" s="854" t="e">
        <f>ROUND('数据-基础表'!B3/'数据-基础表'!A3,2)</f>
        <v>#DIV/0!</v>
      </c>
      <c r="J3" s="2658"/>
      <c r="K3" s="2658"/>
      <c r="L3" s="2658"/>
      <c r="M3" s="2658"/>
      <c r="N3" s="2660"/>
      <c r="O3" s="2658"/>
      <c r="P3" s="2658"/>
    </row>
    <row r="4" spans="1:16" ht="15">
      <c r="A4" s="3554"/>
      <c r="B4" s="3555"/>
      <c r="C4" s="355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7" t="s">
        <v>1110</v>
      </c>
      <c r="C5" s="355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7" t="s">
        <v>1111</v>
      </c>
      <c r="C6" s="3557"/>
      <c r="D6" s="45">
        <f>ROUND($D$3*E6/$E$3,2)</f>
        <v>0</v>
      </c>
      <c r="E6" s="46">
        <f>E3-E5</f>
        <v>229.53</v>
      </c>
      <c r="F6" s="2658"/>
      <c r="G6" s="2652" t="s">
        <v>1112</v>
      </c>
      <c r="H6" s="1145" t="s">
        <v>1113</v>
      </c>
      <c r="I6" s="2653" t="e">
        <f>ROUND(F31/D31,2)</f>
        <v>#DIV/0!</v>
      </c>
      <c r="J6" s="2658"/>
      <c r="K6" s="2658"/>
      <c r="L6" s="2658"/>
      <c r="M6" s="2658"/>
      <c r="N6" s="2658"/>
      <c r="O6" s="2658"/>
      <c r="P6" s="2658"/>
    </row>
    <row r="7" spans="1:16" ht="15.75" thickBot="1">
      <c r="A7" s="3549"/>
      <c r="B7" s="3550"/>
      <c r="C7" s="355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229.53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229.53</v>
      </c>
      <c r="F16" s="2658"/>
      <c r="G16" s="2659"/>
      <c r="H16" s="1647" t="s">
        <v>1135</v>
      </c>
      <c r="I16" s="1648"/>
      <c r="J16" s="1138"/>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8"/>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v>901</v>
      </c>
      <c r="D19" s="45">
        <f>ROUND($D$3*E19/$E$3,2)</f>
        <v>0</v>
      </c>
      <c r="E19" s="53">
        <f t="shared" ref="E19:E26" si="1">SUM(F19:G19)</f>
        <v>229.53</v>
      </c>
      <c r="F19" s="2794">
        <f>'数据-基础表'!I13</f>
        <v>229.53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229.53</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229.53</v>
      </c>
      <c r="F27" s="1139">
        <f>IF(SUM(F19:F26)=E8,SUM(F19:F26),"地上面积有误")</f>
        <v>229.53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229.53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229.53</v>
      </c>
      <c r="F31" s="676">
        <f>F27+F30</f>
        <v>229.53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44930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901</v>
      </c>
      <c r="B6" s="1712" t="str">
        <f>IF(A6=0,"","经营性")</f>
        <v>经营性</v>
      </c>
      <c r="C6" s="1713" t="s">
        <v>21</v>
      </c>
      <c r="D6" s="857">
        <f>SUMIF(项目基本情况!C$12:I$12,C6,项目基本情况!C$14:I$14)</f>
        <v>50</v>
      </c>
      <c r="E6" s="856">
        <f>IF(B6="","",SUMIF(项目基本情况!C$12:H$12,C6,项目基本情况!C$13:H$13))</f>
        <v>57911</v>
      </c>
      <c r="F6" s="64">
        <f>SUMIF(项目基本情况!C$12:I$12,C6,项目基本情况!C$15:I$15)</f>
        <v>35.56</v>
      </c>
      <c r="G6" s="65">
        <f>IF(ISERROR(ROUND(POWER(1+H6,D6-F6)*(POWER(1+H6,F6)-1)/(POWER(1+H6,D6)-1),3)),0,ROUND(POWER(1+H6,D6-F6)*(POWER(1+H6,F6)-1)/(POWER(1+H6,D6)-1),3))</f>
        <v>0.90200000000000002</v>
      </c>
      <c r="H6" s="731">
        <v>0.05</v>
      </c>
      <c r="I6" s="731">
        <v>5.5E-2</v>
      </c>
      <c r="J6" s="66">
        <v>7.0000000000000007E-2</v>
      </c>
      <c r="K6" s="1029">
        <f>SUMIF('数据-汇总表'!C$19:C$33,A6,'数据-汇总表'!E$19:E$33)</f>
        <v>229.53</v>
      </c>
      <c r="L6" s="732">
        <v>4500</v>
      </c>
      <c r="M6" s="67">
        <f t="shared" ref="M6:M14" si="0">ROUND(K6*L6/10000,0)</f>
        <v>103</v>
      </c>
      <c r="N6" s="730">
        <f>ROUND(1-(2023-N20)/60,2)</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2.5000000000000001E-2</v>
      </c>
      <c r="W6" s="70">
        <v>0.1</v>
      </c>
      <c r="X6" s="1039"/>
      <c r="Y6" s="71">
        <f>N6</f>
        <v>0.83</v>
      </c>
      <c r="Z6" s="72"/>
      <c r="AA6" s="66"/>
      <c r="AB6" s="66"/>
      <c r="AC6" s="1039"/>
      <c r="AD6" s="73"/>
      <c r="AE6" s="1040">
        <f ca="1">IF(AN6="",0,SUMIF(INDIRECT("'"&amp;AN6&amp;"'"&amp;"!E:E"),$AE$5,INDIRECT("'"&amp;AN6&amp;"'"&amp;"!F:F")))</f>
        <v>35.56</v>
      </c>
      <c r="AF6" s="1347"/>
      <c r="AG6" s="138">
        <f>IF(AF6="",0,AE6-AF6)</f>
        <v>0</v>
      </c>
      <c r="AH6" s="74"/>
      <c r="AI6" s="76">
        <v>365</v>
      </c>
      <c r="AJ6" s="77"/>
      <c r="AK6" s="78">
        <v>0.01</v>
      </c>
      <c r="AL6" s="79">
        <v>1E-3</v>
      </c>
      <c r="AM6" s="80">
        <v>0.01</v>
      </c>
      <c r="AN6" s="1714" t="s">
        <v>3422</v>
      </c>
      <c r="AO6" s="52">
        <f ca="1">SUMIF(INDIRECT("'"&amp;AN6&amp;"'"&amp;"!A:A"),"总价",INDIRECT("'"&amp;AN6&amp;"'"&amp;"!B:B"))</f>
        <v>431.03570000000002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0.90200000000000002</v>
      </c>
      <c r="H16" s="90">
        <f>ROUND(SUMPRODUCT(H6:H13,K6:K13)/SUMPRODUCT((H6:H13&gt;0)*(K6:K13)),3)</f>
        <v>0.05</v>
      </c>
      <c r="I16" s="91"/>
      <c r="J16" s="91"/>
      <c r="K16" s="92">
        <f>SUM(K6:K15)</f>
        <v>229.53</v>
      </c>
      <c r="L16" s="93">
        <f>ROUND(M16*10000/SUM(K6:K14),0)</f>
        <v>4487</v>
      </c>
      <c r="M16" s="93">
        <f>SUM(M6:M14)</f>
        <v>103</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3423</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8" t="s">
        <v>2285</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1642.01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44930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4795</v>
      </c>
      <c r="C5" s="2511">
        <f ca="1">IF(B5=D14,结果表!H102,ROUND(B5*10000/$B$1,0))</f>
        <v>28807</v>
      </c>
      <c r="D5" s="2511" t="e">
        <f ca="1">ROUND(B5*10000/$B$2,0)</f>
        <v>#DIV/0!</v>
      </c>
      <c r="E5" s="2685"/>
      <c r="F5" s="2686"/>
      <c r="G5" s="2686"/>
      <c r="H5" s="2687"/>
      <c r="I5" s="2687"/>
      <c r="J5" s="2687"/>
      <c r="K5" s="2687"/>
    </row>
    <row r="6" spans="1:11" ht="16.5">
      <c r="A6" s="2511" t="s">
        <v>656</v>
      </c>
      <c r="B6" s="2511">
        <f>SUM(G14:G23)</f>
        <v>0</v>
      </c>
      <c r="C6" s="2511">
        <f ca="1">IF(B6=G14,结果表!H108,ROUND(B6*10000/$B$1,0))</f>
        <v>28807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12199</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1642.01</v>
      </c>
      <c r="C14" s="2517"/>
      <c r="D14" s="2517">
        <f ca="1">典型户型修正!B20</f>
        <v>4795</v>
      </c>
      <c r="E14" s="2517">
        <f ca="1">ROUND(D14*10000/B14,0)</f>
        <v>29202</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3" t="s">
        <v>1265</v>
      </c>
      <c r="B4" s="1754" t="s">
        <v>1266</v>
      </c>
      <c r="C4" s="1755" t="s">
        <v>3433</v>
      </c>
      <c r="D4" s="1755" t="s">
        <v>3422</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6"/>
      <c r="G5" s="1756"/>
      <c r="H5" s="1756"/>
      <c r="I5" s="1372"/>
    </row>
    <row r="6" spans="1:12" ht="12.75">
      <c r="A6" s="3574"/>
      <c r="B6" s="3561"/>
      <c r="C6" s="3578"/>
      <c r="D6" s="3597"/>
      <c r="E6" s="131" t="s">
        <v>1270</v>
      </c>
      <c r="F6" s="1756"/>
      <c r="G6" s="1756"/>
      <c r="H6" s="1756"/>
      <c r="I6" s="1372"/>
    </row>
    <row r="7" spans="1:12" ht="12.75">
      <c r="A7" s="3574"/>
      <c r="B7" s="3561"/>
      <c r="C7" s="3579"/>
      <c r="D7" s="3597"/>
      <c r="E7" s="131" t="s">
        <v>1271</v>
      </c>
      <c r="F7" s="1756"/>
      <c r="G7" s="1756"/>
      <c r="H7" s="1756"/>
      <c r="I7" s="1372"/>
    </row>
    <row r="8" spans="1:12" ht="12.75">
      <c r="A8" s="3574" t="s">
        <v>1272</v>
      </c>
      <c r="B8" s="3561">
        <v>15</v>
      </c>
      <c r="C8" s="3577"/>
      <c r="D8" s="3597"/>
      <c r="E8" s="131" t="s">
        <v>1273</v>
      </c>
      <c r="F8" s="1756"/>
      <c r="G8" s="1756"/>
      <c r="H8" s="1756"/>
      <c r="I8" s="1372"/>
    </row>
    <row r="9" spans="1:12" ht="12.75">
      <c r="A9" s="3574"/>
      <c r="B9" s="3561"/>
      <c r="C9" s="3579"/>
      <c r="D9" s="3597"/>
      <c r="E9" s="131" t="s">
        <v>1274</v>
      </c>
      <c r="F9" s="1756"/>
      <c r="G9" s="1756"/>
      <c r="H9" s="1756"/>
      <c r="I9" s="1372"/>
    </row>
    <row r="10" spans="1:12" ht="12.75">
      <c r="A10" s="3574" t="s">
        <v>1275</v>
      </c>
      <c r="B10" s="3561">
        <v>15</v>
      </c>
      <c r="C10" s="3577"/>
      <c r="D10" s="3597"/>
      <c r="E10" s="131" t="s">
        <v>1276</v>
      </c>
      <c r="F10" s="1756"/>
      <c r="G10" s="1756"/>
      <c r="H10" s="1756"/>
      <c r="I10" s="1372"/>
    </row>
    <row r="11" spans="1:12" ht="12.75">
      <c r="A11" s="3574"/>
      <c r="B11" s="3561"/>
      <c r="C11" s="3579"/>
      <c r="D11" s="3597"/>
      <c r="E11" s="131" t="s">
        <v>1277</v>
      </c>
      <c r="F11" s="1756"/>
      <c r="G11" s="1756"/>
      <c r="H11" s="1756"/>
      <c r="I11" s="1372"/>
    </row>
    <row r="12" spans="1:12" ht="12.75">
      <c r="A12" s="3574" t="s">
        <v>1278</v>
      </c>
      <c r="B12" s="3561">
        <v>15</v>
      </c>
      <c r="C12" s="3577"/>
      <c r="D12" s="3597"/>
      <c r="E12" s="131" t="s">
        <v>1279</v>
      </c>
      <c r="F12" s="1756"/>
      <c r="G12" s="1756"/>
      <c r="H12" s="1756"/>
      <c r="I12" s="1372"/>
    </row>
    <row r="13" spans="1:12" ht="12.75">
      <c r="A13" s="3574"/>
      <c r="B13" s="3561"/>
      <c r="C13" s="3579"/>
      <c r="D13" s="3597"/>
      <c r="E13" s="131" t="s">
        <v>1280</v>
      </c>
      <c r="F13" s="1756"/>
      <c r="G13" s="1756"/>
      <c r="H13" s="1756"/>
      <c r="I13" s="1372"/>
    </row>
    <row r="14" spans="1:12" ht="12.75">
      <c r="A14" s="3574" t="s">
        <v>1281</v>
      </c>
      <c r="B14" s="3561">
        <v>30</v>
      </c>
      <c r="C14" s="3577">
        <v>6</v>
      </c>
      <c r="D14" s="3597">
        <v>4</v>
      </c>
      <c r="E14" s="131" t="s">
        <v>1282</v>
      </c>
      <c r="F14" s="1756"/>
      <c r="G14" s="1756"/>
      <c r="H14" s="1756"/>
      <c r="I14" s="1372"/>
    </row>
    <row r="15" spans="1:12" ht="12.75">
      <c r="A15" s="3574"/>
      <c r="B15" s="3561"/>
      <c r="C15" s="3578"/>
      <c r="D15" s="3597"/>
      <c r="E15" s="131" t="s">
        <v>1283</v>
      </c>
      <c r="F15" s="1756"/>
      <c r="G15" s="1756"/>
      <c r="H15" s="1756"/>
      <c r="I15" s="1372"/>
    </row>
    <row r="16" spans="1:12" ht="12.75">
      <c r="A16" s="3574"/>
      <c r="B16" s="3561"/>
      <c r="C16" s="3579"/>
      <c r="D16" s="359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4" t="s">
        <v>2130</v>
      </c>
      <c r="F18" s="3585"/>
      <c r="G18" s="3585"/>
      <c r="H18" s="3585"/>
      <c r="I18" s="3585"/>
      <c r="K18" s="302" t="s">
        <v>1289</v>
      </c>
      <c r="L18" s="302">
        <f>IF(C1="",'数据-汇总表'!E3,SUMIF(项目类型,C1,'数据-汇总表'!E17:E26)+SUMIF(项目类型,C1,'数据-汇总表'!I17:I26))</f>
        <v>229.53</v>
      </c>
      <c r="M18" s="302">
        <f>IF(C1="",'数据-汇总表'!E3,SUMIF(项目类型,C1,'数据-汇总表'!E17:E26))</f>
        <v>229.53</v>
      </c>
    </row>
    <row r="19" spans="1:36" ht="15">
      <c r="A19" s="1760" t="s">
        <v>1290</v>
      </c>
      <c r="B19" s="1761" t="s">
        <v>1291</v>
      </c>
      <c r="C19" s="134">
        <f ca="1">SUMIF(INDIRECT("'"&amp;C4&amp;"'"&amp;"!A:A"),结果表!B19,INDIRECT("'"&amp;C4&amp;"'"&amp;"!B:B"))</f>
        <v>814.67079999999999</v>
      </c>
      <c r="D19" s="135">
        <f ca="1">SUMIF(INDIRECT("'"&amp;D4&amp;"'"&amp;"!A:A"),结果表!B19,INDIRECT("'"&amp;D4&amp;"'"&amp;"!B:B"))</f>
        <v>431.03570000000002</v>
      </c>
      <c r="E19" s="1760" t="s">
        <v>1292</v>
      </c>
      <c r="F19" s="1761" t="s">
        <v>1291</v>
      </c>
      <c r="G19" s="136">
        <f ca="1">ROUND(C19*$C$18+D19*$D$18,0)</f>
        <v>661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35493</v>
      </c>
      <c r="D20" s="138">
        <f ca="1">SUMIF(INDIRECT("'"&amp;D4&amp;"'"&amp;"!A:A"),结果表!B20,INDIRECT("'"&amp;D4&amp;"'"&amp;"!B:B"))</f>
        <v>18779</v>
      </c>
      <c r="E20" s="1763"/>
      <c r="F20" s="1025" t="s">
        <v>1295</v>
      </c>
      <c r="G20" s="139">
        <f ca="1">ROUND(C20*$C$18+D20*$D$18,0)</f>
        <v>28807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0.89003091855268579</v>
      </c>
      <c r="E22" s="129"/>
      <c r="F22" s="129"/>
      <c r="G22" s="129"/>
      <c r="H22" s="129"/>
      <c r="I22" s="129"/>
    </row>
    <row r="23" spans="1:36" ht="13.5" thickBot="1">
      <c r="A23" s="1746"/>
      <c r="B23" s="1746"/>
      <c r="C23" s="1746"/>
      <c r="D23" s="1746"/>
      <c r="E23" s="129"/>
      <c r="F23" s="129"/>
      <c r="G23" s="129"/>
      <c r="H23" s="129"/>
      <c r="I23" s="129"/>
    </row>
    <row r="24" spans="1:36" ht="14.25">
      <c r="A24" s="3568" t="s">
        <v>1299</v>
      </c>
      <c r="B24" s="1761" t="s">
        <v>1291</v>
      </c>
      <c r="C24" s="136">
        <f>IF(B30=0,0,D30)</f>
        <v>0</v>
      </c>
      <c r="D24" s="1768"/>
      <c r="E24" s="129"/>
      <c r="F24" s="129"/>
      <c r="G24" s="129"/>
      <c r="H24" s="129"/>
      <c r="I24" s="129"/>
    </row>
    <row r="25" spans="1:36" ht="14.25">
      <c r="A25" s="356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28807</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8" t="s">
        <v>1312</v>
      </c>
      <c r="B36" s="1786" t="s">
        <v>1313</v>
      </c>
      <c r="C36" s="145"/>
      <c r="D36" s="1787"/>
      <c r="E36" s="1788"/>
      <c r="F36" s="1789"/>
      <c r="G36" s="129"/>
      <c r="H36" s="129"/>
      <c r="I36" s="129"/>
    </row>
    <row r="37" spans="1:15" ht="15.75" thickBot="1">
      <c r="A37" s="3589"/>
      <c r="B37" s="1673" t="s">
        <v>1314</v>
      </c>
      <c r="C37" s="147"/>
      <c r="D37" s="1138"/>
      <c r="E37" s="1138"/>
      <c r="F37" s="1789"/>
      <c r="G37" s="129"/>
      <c r="H37" s="129"/>
      <c r="I37" s="129"/>
    </row>
    <row r="38" spans="1:15" ht="15.75" thickBot="1">
      <c r="A38" s="359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5" t="s">
        <v>1326</v>
      </c>
      <c r="B45" s="3566"/>
      <c r="C45" s="3567"/>
      <c r="D45" s="155">
        <f ca="1">ROUND(H101*F45,0)</f>
        <v>661</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5"/>
      <c r="I46" s="159"/>
      <c r="J46" s="2522">
        <v>1</v>
      </c>
      <c r="K46" s="3624" t="s">
        <v>1331</v>
      </c>
      <c r="L46" s="3624"/>
      <c r="M46" s="3644"/>
      <c r="N46" s="3644"/>
      <c r="O46" s="3644"/>
    </row>
    <row r="47" spans="1:15" ht="12" customHeight="1">
      <c r="A47" s="160" t="s">
        <v>1332</v>
      </c>
      <c r="B47" s="161"/>
      <c r="C47" s="162"/>
      <c r="D47" s="1086" t="s">
        <v>1333</v>
      </c>
      <c r="E47" s="302" t="s">
        <v>1334</v>
      </c>
      <c r="F47" s="163" t="s">
        <v>1335</v>
      </c>
      <c r="G47" s="2545" t="s">
        <v>1336</v>
      </c>
      <c r="H47" s="2546"/>
      <c r="I47" s="159"/>
      <c r="J47" s="2522">
        <v>2</v>
      </c>
      <c r="K47" s="3624" t="s">
        <v>1337</v>
      </c>
      <c r="L47" s="3624"/>
      <c r="M47" s="3645">
        <f>'数据-取费表'!B2</f>
        <v>44930</v>
      </c>
      <c r="N47" s="3645"/>
      <c r="O47" s="3645"/>
    </row>
    <row r="48" spans="1:15" ht="25.5">
      <c r="A48" s="3593" t="s">
        <v>1338</v>
      </c>
      <c r="B48" s="3576"/>
      <c r="C48" s="357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4" t="s">
        <v>1340</v>
      </c>
      <c r="L48" s="3624"/>
      <c r="M48" s="3646">
        <f ca="1">H101</f>
        <v>661</v>
      </c>
      <c r="N48" s="3646"/>
      <c r="O48" s="3646"/>
    </row>
    <row r="49" spans="1:35" ht="25.5" customHeight="1">
      <c r="A49" s="2332" t="s">
        <v>1341</v>
      </c>
      <c r="B49" s="3560" t="s">
        <v>1342</v>
      </c>
      <c r="C49" s="3560"/>
      <c r="D49" s="1589">
        <v>0</v>
      </c>
      <c r="E49" s="324" t="s">
        <v>1343</v>
      </c>
      <c r="F49" s="2423" t="s">
        <v>28</v>
      </c>
      <c r="G49" s="3630"/>
      <c r="H49" s="2309" t="s">
        <v>2133</v>
      </c>
      <c r="I49" s="2310"/>
      <c r="J49" s="2522">
        <v>4</v>
      </c>
      <c r="K49" s="3624" t="str">
        <f>IF(项目基本情况!E8="房地产抵押价值","房地产抵押价值","抵押担保权已注销时的房地产抵押价值")</f>
        <v>房地产抵押价值</v>
      </c>
      <c r="L49" s="3624"/>
      <c r="M49" s="3646">
        <f ca="1">IF(项目基本情况!E8="房地产抵押价值",H107,H109)</f>
        <v>661</v>
      </c>
      <c r="N49" s="3646"/>
      <c r="O49" s="3646"/>
    </row>
    <row r="50" spans="1:35" ht="25.5" customHeight="1">
      <c r="A50" s="2550"/>
      <c r="B50" s="3560" t="s">
        <v>1344</v>
      </c>
      <c r="C50" s="3560"/>
      <c r="D50" s="2551"/>
      <c r="E50" s="332"/>
      <c r="F50" s="2423"/>
      <c r="G50" s="3631"/>
      <c r="H50" s="2311" t="s">
        <v>2134</v>
      </c>
      <c r="I50" s="2310"/>
      <c r="J50" s="3643" t="s">
        <v>1345</v>
      </c>
      <c r="K50" s="3643"/>
      <c r="L50" s="3643"/>
      <c r="M50" s="3643"/>
      <c r="N50" s="3643"/>
      <c r="O50" s="3643"/>
    </row>
    <row r="51" spans="1:35" ht="20.45" customHeight="1">
      <c r="A51" s="2552"/>
      <c r="B51" s="3560" t="s">
        <v>1346</v>
      </c>
      <c r="C51" s="3560"/>
      <c r="D51" s="1086"/>
      <c r="E51" s="327"/>
      <c r="F51" s="2423"/>
      <c r="G51" s="3632"/>
      <c r="H51" s="2311" t="s">
        <v>2135</v>
      </c>
      <c r="I51" s="2310"/>
      <c r="J51" s="2523" t="s">
        <v>1347</v>
      </c>
      <c r="K51" s="3624" t="s">
        <v>1348</v>
      </c>
      <c r="L51" s="3624"/>
      <c r="M51" s="2523" t="s">
        <v>1349</v>
      </c>
      <c r="N51" s="2523" t="s">
        <v>1350</v>
      </c>
      <c r="O51" s="2523" t="s">
        <v>1351</v>
      </c>
    </row>
    <row r="52" spans="1:35" ht="24" customHeight="1">
      <c r="A52" s="2334" t="s">
        <v>1352</v>
      </c>
      <c r="B52" s="3560" t="s">
        <v>1353</v>
      </c>
      <c r="C52" s="3560"/>
      <c r="D52" s="1086">
        <f ca="1">ROUND(D45*'数据-取费表'!B41/(1+'数据-取费表'!C42),0)</f>
        <v>35</v>
      </c>
      <c r="E52" s="2333" t="s">
        <v>1354</v>
      </c>
      <c r="F52" s="2553">
        <f>'数据-取费表'!B41</f>
        <v>5.5000000000000007E-2</v>
      </c>
      <c r="G52" s="2554"/>
      <c r="H52" s="2543"/>
      <c r="I52" s="1806"/>
      <c r="J52" s="2522">
        <v>1</v>
      </c>
      <c r="K52" s="3625" t="s">
        <v>1355</v>
      </c>
      <c r="L52" s="3625"/>
      <c r="M52" s="2524" t="b">
        <f>D48</f>
        <v>0</v>
      </c>
      <c r="N52" s="2522" t="str">
        <f>E48</f>
        <v>销售额×税（费）率</v>
      </c>
      <c r="O52" s="2525">
        <f>F48</f>
        <v>5.5000000000000007E-2</v>
      </c>
    </row>
    <row r="53" spans="1:35" ht="12" customHeight="1">
      <c r="A53" s="2334" t="s">
        <v>1356</v>
      </c>
      <c r="B53" s="3586" t="s">
        <v>2290</v>
      </c>
      <c r="C53" s="3587"/>
      <c r="D53" s="1086">
        <f ca="1">ROUND(D45*'数据-取费表'!B41/(1+'数据-取费表'!C42),0)</f>
        <v>35</v>
      </c>
      <c r="E53" s="2333" t="s">
        <v>1354</v>
      </c>
      <c r="F53" s="2553">
        <f>'数据-取费表'!B41</f>
        <v>5.5000000000000007E-2</v>
      </c>
      <c r="G53" s="2554"/>
      <c r="H53" s="2543"/>
      <c r="I53" s="1806"/>
      <c r="J53" s="2522">
        <v>2</v>
      </c>
      <c r="K53" s="3625" t="s">
        <v>1357</v>
      </c>
      <c r="L53" s="3625"/>
      <c r="M53" s="2524">
        <f t="shared" ref="M53:O54" ca="1" si="0">D55</f>
        <v>0</v>
      </c>
      <c r="N53" s="2522" t="str">
        <f t="shared" si="0"/>
        <v>销售额×税（费）率</v>
      </c>
      <c r="O53" s="2525" t="str">
        <f t="shared" si="0"/>
        <v>免征</v>
      </c>
    </row>
    <row r="54" spans="1:35" ht="12" customHeight="1">
      <c r="A54" s="2334" t="s">
        <v>1358</v>
      </c>
      <c r="B54" s="3586" t="s">
        <v>2291</v>
      </c>
      <c r="C54" s="3587"/>
      <c r="D54" s="1086">
        <f ca="1">C68</f>
        <v>35</v>
      </c>
      <c r="E54" s="327" t="s">
        <v>1359</v>
      </c>
      <c r="F54" s="2553">
        <f>'数据-取费表'!B41</f>
        <v>5.5000000000000007E-2</v>
      </c>
      <c r="G54" s="2554"/>
      <c r="H54" s="2555"/>
      <c r="I54" s="1806"/>
      <c r="J54" s="2522">
        <v>3</v>
      </c>
      <c r="K54" s="3625" t="s">
        <v>1360</v>
      </c>
      <c r="L54" s="3625"/>
      <c r="M54" s="2524">
        <f t="shared" ca="1" si="0"/>
        <v>375</v>
      </c>
      <c r="N54" s="2522" t="str">
        <f t="shared" si="0"/>
        <v>增值额×税（费）率</v>
      </c>
      <c r="O54" s="2526" t="str">
        <f t="shared" si="0"/>
        <v>免征</v>
      </c>
    </row>
    <row r="55" spans="1:35" ht="24" customHeight="1">
      <c r="A55" s="3575" t="s">
        <v>1361</v>
      </c>
      <c r="B55" s="3576"/>
      <c r="C55" s="3576"/>
      <c r="D55" s="2323">
        <f ca="1">IF(H55="个人住宅",0,ROUND(D45*I55,0))</f>
        <v>0</v>
      </c>
      <c r="E55" s="2333" t="s">
        <v>1362</v>
      </c>
      <c r="F55" s="2553" t="str">
        <f>IF(H55="正常",I55,"免征")</f>
        <v>免征</v>
      </c>
      <c r="G55" s="2554"/>
      <c r="H55" s="2549"/>
      <c r="I55" s="165">
        <f>'数据-取费表'!B49</f>
        <v>5.0000000000000001E-4</v>
      </c>
      <c r="J55" s="2522">
        <f>IF(H59="非个人房产","",4)</f>
        <v>4</v>
      </c>
      <c r="K55" s="3625" t="str">
        <f>IF(H59="非个人房产","——","个人所得税")</f>
        <v>个人所得税</v>
      </c>
      <c r="L55" s="3625"/>
      <c r="M55" s="2527">
        <f ca="1">D59</f>
        <v>6</v>
      </c>
      <c r="N55" s="2039" t="str">
        <f>E59</f>
        <v>差额计税</v>
      </c>
      <c r="O55" s="2528">
        <f>F59</f>
        <v>0.01</v>
      </c>
    </row>
    <row r="56" spans="1:35" ht="24.75">
      <c r="A56" s="3575" t="s">
        <v>1363</v>
      </c>
      <c r="B56" s="3576"/>
      <c r="C56" s="3576"/>
      <c r="D56" s="2323">
        <f ca="1">IF(H56="个人住宅",D57,D58)</f>
        <v>375</v>
      </c>
      <c r="E56" s="2333" t="s">
        <v>1364</v>
      </c>
      <c r="F56" s="2553" t="str">
        <f>IF(H56="正常",F58,"免征")</f>
        <v>免征</v>
      </c>
      <c r="G56" s="2556" t="s">
        <v>1365</v>
      </c>
      <c r="H56" s="2557"/>
      <c r="I56" s="1807"/>
      <c r="J56" s="252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2.75">
      <c r="A57" s="2334" t="s">
        <v>1341</v>
      </c>
      <c r="B57" s="3586" t="s">
        <v>1366</v>
      </c>
      <c r="C57" s="3587"/>
      <c r="D57" s="1589">
        <v>0</v>
      </c>
      <c r="E57" s="324" t="s">
        <v>1343</v>
      </c>
      <c r="F57" s="302"/>
      <c r="G57" s="2554"/>
      <c r="H57" s="2558"/>
      <c r="I57" s="1807"/>
      <c r="J57" s="3625">
        <f>IF(AND(J55="",J56=""),4,IF(项目基本情况!K6="上海银行",结果表!J56+1,结果表!J55+1))</f>
        <v>5</v>
      </c>
      <c r="K57" s="3625" t="s">
        <v>1367</v>
      </c>
      <c r="L57" s="2529" t="s">
        <v>1368</v>
      </c>
      <c r="M57" s="2530"/>
      <c r="N57" s="2531">
        <f ca="1">SUMIF(M52:M56,"&lt;9e307")</f>
        <v>381</v>
      </c>
      <c r="O57" s="2532"/>
      <c r="P57" s="2689">
        <f ca="1">N57/M49</f>
        <v>0.57639939485627834</v>
      </c>
    </row>
    <row r="58" spans="1:35" ht="24.75">
      <c r="A58" s="2334" t="s">
        <v>1352</v>
      </c>
      <c r="B58" s="3586" t="s">
        <v>1369</v>
      </c>
      <c r="C58" s="3560"/>
      <c r="D58" s="2323">
        <f ca="1">IF(H58="转让取得",C81,C97)</f>
        <v>375</v>
      </c>
      <c r="E58" s="2333" t="s">
        <v>1364</v>
      </c>
      <c r="F58" s="302" t="s">
        <v>28</v>
      </c>
      <c r="G58" s="2554"/>
      <c r="H58" s="2557"/>
      <c r="I58" s="1807"/>
      <c r="J58" s="3625"/>
      <c r="K58" s="3625"/>
      <c r="L58" s="2529" t="s">
        <v>1370</v>
      </c>
      <c r="M58" s="2533"/>
      <c r="N58" s="2534" t="str">
        <f ca="1">NUMBERSTRING(INT(N57*10000),2)&amp;"元整"</f>
        <v>叁佰捌拾壹万元整</v>
      </c>
      <c r="O58" s="2535"/>
    </row>
    <row r="59" spans="1:35" ht="24.75" thickBot="1">
      <c r="A59" s="3628" t="s">
        <v>1371</v>
      </c>
      <c r="B59" s="3629"/>
      <c r="C59" s="3629"/>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6">
        <f>J57+1</f>
        <v>6</v>
      </c>
      <c r="K59" s="3625" t="s">
        <v>1372</v>
      </c>
      <c r="L59" s="2522" t="s">
        <v>1368</v>
      </c>
      <c r="M59" s="2536"/>
      <c r="N59" s="2537">
        <f ca="1">M49-N57</f>
        <v>280</v>
      </c>
      <c r="O59" s="2538"/>
    </row>
    <row r="60" spans="1:35" ht="12" customHeight="1">
      <c r="A60" s="1808"/>
      <c r="B60" s="1746"/>
      <c r="C60" s="1746"/>
      <c r="D60" s="1746"/>
      <c r="E60" s="1577"/>
      <c r="F60" s="1807"/>
      <c r="G60" s="1807"/>
      <c r="H60" s="1809"/>
      <c r="I60" s="129"/>
      <c r="J60" s="3627"/>
      <c r="K60" s="3625"/>
      <c r="L60" s="2529" t="s">
        <v>1370</v>
      </c>
      <c r="M60" s="2533"/>
      <c r="N60" s="2534" t="str">
        <f ca="1">NUMBERSTRING(INT(N59*10000),2)&amp;"元整"</f>
        <v>贰佰捌拾万元整</v>
      </c>
      <c r="O60" s="2535"/>
    </row>
    <row r="61" spans="1:35" ht="13.5" thickBot="1">
      <c r="A61" s="3573" t="s">
        <v>1373</v>
      </c>
      <c r="B61" s="3573"/>
      <c r="C61" s="3573"/>
      <c r="D61" s="3573"/>
      <c r="E61" s="3573"/>
      <c r="F61" s="1807"/>
      <c r="G61" s="1807"/>
      <c r="H61" s="1809"/>
      <c r="I61" s="129"/>
      <c r="J61" s="2522">
        <f>J59+1</f>
        <v>7</v>
      </c>
      <c r="K61" s="3625" t="s">
        <v>1374</v>
      </c>
      <c r="L61" s="3625"/>
      <c r="M61" s="2539"/>
      <c r="N61" s="2540">
        <f ca="1">ROUND(N59*10000/'数据-汇总表'!E3,0)</f>
        <v>12199</v>
      </c>
      <c r="O61" s="2541"/>
    </row>
    <row r="62" spans="1:35" ht="12.75">
      <c r="A62" s="3591" t="s">
        <v>1375</v>
      </c>
      <c r="B62" s="3592"/>
      <c r="C62" s="2020"/>
      <c r="D62" s="2020" t="s">
        <v>1376</v>
      </c>
      <c r="E62" s="166" t="s">
        <v>1377</v>
      </c>
      <c r="F62" s="1807"/>
      <c r="G62" s="1807"/>
      <c r="H62" s="1809"/>
      <c r="I62" s="129"/>
    </row>
    <row r="63" spans="1:35" ht="12.75">
      <c r="A63" s="173" t="s">
        <v>330</v>
      </c>
      <c r="B63" s="167" t="s">
        <v>1378</v>
      </c>
      <c r="C63" s="2563">
        <f ca="1">ROUND((C64+C65)/(1+'数据-取费表'!C42),0)</f>
        <v>630</v>
      </c>
      <c r="D63" s="167"/>
      <c r="E63" s="168"/>
      <c r="F63" s="1807"/>
      <c r="G63" s="1807"/>
      <c r="H63" s="1809"/>
      <c r="I63" s="129"/>
      <c r="J63" s="3650" t="s">
        <v>1379</v>
      </c>
      <c r="K63" s="1331" t="s">
        <v>1380</v>
      </c>
      <c r="L63" s="1331">
        <f ca="1">IF(M49&gt;10000,M49*0.5%,IF(AND(M49&gt;1000,M49&lt;=10000),M49*1%,IF(AND(M49&gt;100,M49&lt;=1000),M49*3%,IF(AND(M49&gt;10,M49&lt;=100),M49*5%,M49*8%))))</f>
        <v>19.829999999999998</v>
      </c>
      <c r="M63" s="302">
        <f ca="1">ROUND(L63,1)</f>
        <v>19.8</v>
      </c>
      <c r="N63" s="2542"/>
      <c r="Z63" s="1751"/>
      <c r="AI63" s="1752"/>
    </row>
    <row r="64" spans="1:35" ht="14.25" customHeight="1">
      <c r="A64" s="169" t="s">
        <v>325</v>
      </c>
      <c r="B64" s="170" t="s">
        <v>1381</v>
      </c>
      <c r="C64" s="2564">
        <f ca="1">D45</f>
        <v>661</v>
      </c>
      <c r="D64" s="170" t="s">
        <v>26</v>
      </c>
      <c r="E64" s="172"/>
      <c r="F64" s="1807"/>
      <c r="G64" s="1807"/>
      <c r="H64" s="1809"/>
      <c r="I64" s="129"/>
      <c r="J64" s="3650"/>
      <c r="K64" s="1331" t="s">
        <v>1382</v>
      </c>
      <c r="L64" s="1331">
        <f ca="1">IF(M49&gt;2000,M49*0.5%,IF(AND(M49&gt;1000,M49&lt;=2000),M49*0.6%,IF(AND(M49&gt;500,M49&lt;=1000),M49*0.7%,IF(AND(M49&gt;200,M49&lt;=500),M49*0.8%,IF(AND(M49&gt;100,M49&lt;=200),M49*0.9%,IF(AND(M49&gt;50,M49&lt;=100),M49*1%,IF(AND(M49&gt;20,M49&lt;=50),M49*1.5%,IF(AND(M49&gt;10,M49&lt;=20),M49*2%,IF(AND(M49&gt;1,M49&lt;=10),M49*2.5%)))))))))</f>
        <v>4.6269999999999998</v>
      </c>
      <c r="M64" s="302">
        <f t="shared" ref="M64:M65" ca="1" si="1">ROUND(L64,1)</f>
        <v>4.5999999999999996</v>
      </c>
      <c r="N64" s="2543" t="s">
        <v>1383</v>
      </c>
      <c r="Z64" s="1751"/>
      <c r="AI64" s="1752"/>
    </row>
    <row r="65" spans="1:35" ht="14.25" customHeight="1">
      <c r="A65" s="169" t="s">
        <v>326</v>
      </c>
      <c r="B65" s="170" t="s">
        <v>1384</v>
      </c>
      <c r="C65" s="2565"/>
      <c r="D65" s="170"/>
      <c r="E65" s="172"/>
      <c r="F65" s="1807"/>
      <c r="G65" s="1807"/>
      <c r="H65" s="1809"/>
      <c r="I65" s="129"/>
      <c r="J65" s="3650"/>
      <c r="K65" s="1331" t="s">
        <v>1385</v>
      </c>
      <c r="L65" s="1331">
        <f ca="1">IF(M49&gt;1000,M49*0.1%,IF(AND(M49&gt;500,M49&lt;=1000),M49*0.5%,IF(AND(M49&gt;50,M49&lt;=500),M49*1%,IF(AND(M49&gt;1,M49&lt;=50),M49*1.5%))))</f>
        <v>3.3050000000000002</v>
      </c>
      <c r="M65" s="302">
        <f t="shared" ca="1" si="1"/>
        <v>3.3</v>
      </c>
      <c r="N65" s="2543" t="s">
        <v>1383</v>
      </c>
      <c r="Z65" s="1751"/>
      <c r="AI65" s="1752"/>
    </row>
    <row r="66" spans="1:35" ht="14.25" customHeight="1">
      <c r="A66" s="173" t="s">
        <v>327</v>
      </c>
      <c r="B66" s="174" t="s">
        <v>1386</v>
      </c>
      <c r="C66" s="2566"/>
      <c r="D66" s="174" t="s">
        <v>26</v>
      </c>
      <c r="E66" s="1337" t="s">
        <v>671</v>
      </c>
      <c r="F66" s="1807"/>
      <c r="G66" s="1807"/>
      <c r="H66" s="1809"/>
      <c r="I66" s="129"/>
      <c r="J66" s="3650"/>
      <c r="K66" s="1331" t="s">
        <v>1387</v>
      </c>
      <c r="L66" s="1331">
        <f ca="1">M49*0.5%</f>
        <v>3.3050000000000002</v>
      </c>
      <c r="M66" s="302">
        <f ca="1">IF(L66&gt;0.5,0.5,ROUND(L66,0))</f>
        <v>0.5</v>
      </c>
      <c r="N66" s="2543" t="s">
        <v>1388</v>
      </c>
      <c r="Z66" s="1751"/>
      <c r="AI66" s="1752"/>
    </row>
    <row r="67" spans="1:35" ht="14.25" customHeight="1">
      <c r="A67" s="173" t="s">
        <v>328</v>
      </c>
      <c r="B67" s="174" t="s">
        <v>1389</v>
      </c>
      <c r="C67" s="2567">
        <f ca="1">C63-C66</f>
        <v>630</v>
      </c>
      <c r="D67" s="170" t="s">
        <v>26</v>
      </c>
      <c r="E67" s="172"/>
      <c r="F67" s="1807"/>
      <c r="G67" s="1807"/>
      <c r="H67" s="1809"/>
      <c r="I67" s="129"/>
      <c r="J67" s="3650"/>
      <c r="K67" s="1331" t="s">
        <v>1390</v>
      </c>
      <c r="L67" s="1331">
        <f ca="1">IF(M49&gt;=10000,(8.25+(M49-10000)*0.01%),IF(AND(M49&gt;=8000,M49&lt;10000),(7.85+(M49-8000)*0.02%),IF(AND(M49&gt;=5000,M49&lt;8000),(6.65+(M49-5000)*0.04%),IF(AND(M49&gt;=2000,M49&lt;5000),(4.25+(PM49-2000)*0.08%),IF(AND(M49&gt;=1000,M49&lt;2000),(2.75+(M49-1000)*0.15%),IF(AND(M49&gt;=100,M49&lt;1000),(0.5+(M49-100)*0.25%),IF(AND(M49&gt;0,M49&lt;100),M49*0.5%)))))))</f>
        <v>1.9025000000000001</v>
      </c>
      <c r="M67" s="302">
        <f ca="1">ROUND(L67*0.9,1)</f>
        <v>1.7</v>
      </c>
      <c r="N67" s="2542"/>
      <c r="Z67" s="1751"/>
      <c r="AI67" s="1752"/>
    </row>
    <row r="68" spans="1:35" ht="14.25" customHeight="1" thickBot="1">
      <c r="A68" s="176" t="s">
        <v>329</v>
      </c>
      <c r="B68" s="177" t="s">
        <v>1391</v>
      </c>
      <c r="C68" s="2568">
        <f ca="1">IF(C67&lt;=0,0,ROUND(C67*D68,0))</f>
        <v>35</v>
      </c>
      <c r="D68" s="2569">
        <f>'数据-取费表'!B41</f>
        <v>5.5000000000000007E-2</v>
      </c>
      <c r="E68" s="178"/>
      <c r="F68" s="1807"/>
      <c r="G68" s="1807"/>
      <c r="H68" s="1809"/>
      <c r="I68" s="129"/>
      <c r="J68" s="3650"/>
      <c r="K68" s="1331" t="s">
        <v>1392</v>
      </c>
      <c r="L68" s="1331">
        <f ca="1">IF(M49&gt;10000,M49*0.5%,IF(AND(M49&gt;5000,M49&lt;=10000),M49*1%,IF(AND(M49&gt;1000,M49&lt;=5000),M49*2%,IF(AND(M49&gt;200,M49&lt;=1000),M49*3%,M49*5%))))</f>
        <v>19.829999999999998</v>
      </c>
      <c r="M68" s="302">
        <f ca="1">ROUND(L68,1)</f>
        <v>19.8</v>
      </c>
      <c r="N68" s="2542"/>
      <c r="Z68" s="1751"/>
      <c r="AI68" s="1752"/>
    </row>
    <row r="69" spans="1:35" s="1771" customFormat="1" ht="16.5" customHeight="1">
      <c r="A69" s="1810"/>
      <c r="B69" s="1811"/>
      <c r="C69" s="1812"/>
      <c r="D69" s="1813"/>
      <c r="E69" s="1814"/>
      <c r="F69" s="1577"/>
      <c r="G69" s="1577"/>
      <c r="H69" s="1576"/>
      <c r="I69" s="1746"/>
      <c r="J69" s="3650"/>
      <c r="K69" s="1331" t="s">
        <v>1393</v>
      </c>
      <c r="L69" s="1331"/>
      <c r="M69" s="302">
        <f ca="1">ROUND(SUM(M63:M68),0)</f>
        <v>50</v>
      </c>
      <c r="N69" s="2544">
        <f ca="1">M69/M49</f>
        <v>7.564296520423601E-2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2" t="s">
        <v>1394</v>
      </c>
      <c r="B70" s="3613"/>
      <c r="C70" s="3613"/>
      <c r="D70" s="3613"/>
      <c r="E70" s="3613"/>
      <c r="F70" s="3613"/>
      <c r="G70" s="3613"/>
      <c r="H70" s="361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630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6" t="s">
        <v>1402</v>
      </c>
      <c r="F76" s="3560"/>
      <c r="G76" s="3560"/>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5.000000000000001E-3</v>
      </c>
      <c r="E78" s="3570" t="s">
        <v>1406</v>
      </c>
      <c r="F78" s="3571"/>
      <c r="G78" s="3571"/>
      <c r="H78" s="358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627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375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1410</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2" t="s">
        <v>2128</v>
      </c>
      <c r="H90" s="365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0" t="s">
        <v>1419</v>
      </c>
      <c r="F91" s="3571"/>
      <c r="G91" s="357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0" t="s">
        <v>1422</v>
      </c>
      <c r="F92" s="3571"/>
      <c r="G92" s="3571"/>
      <c r="H92" s="358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5.000000000000001E-3</v>
      </c>
      <c r="E93" s="3570" t="s">
        <v>1406</v>
      </c>
      <c r="F93" s="3571"/>
      <c r="G93" s="3571"/>
      <c r="H93" s="358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1" t="s">
        <v>1426</v>
      </c>
      <c r="F94" s="3582"/>
      <c r="G94" s="3582"/>
      <c r="H94" s="35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627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375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4" t="str">
        <f>C4</f>
        <v>比较法-办公</v>
      </c>
      <c r="D101" s="2585" t="str">
        <f>D4</f>
        <v>收益法 (元)</v>
      </c>
      <c r="E101" s="3647" t="s">
        <v>1431</v>
      </c>
      <c r="F101" s="3604"/>
      <c r="G101" s="1826" t="s">
        <v>1432</v>
      </c>
      <c r="H101" s="2594">
        <f ca="1">H118</f>
        <v>661</v>
      </c>
      <c r="I101" s="129"/>
    </row>
    <row r="102" spans="1:35" ht="18.75" customHeight="1">
      <c r="A102" s="3606" t="s">
        <v>1433</v>
      </c>
      <c r="B102" s="2583" t="s">
        <v>1432</v>
      </c>
      <c r="C102" s="2584">
        <f ca="1">IF(D32="楼面单价",ROUND(C19,0),C19)</f>
        <v>815</v>
      </c>
      <c r="D102" s="2585">
        <f ca="1">IF(D32="楼面单价",ROUND(D19,0),D19)</f>
        <v>431</v>
      </c>
      <c r="E102" s="3647"/>
      <c r="F102" s="3604"/>
      <c r="G102" s="1826" t="s">
        <v>1434</v>
      </c>
      <c r="H102" s="2554">
        <f ca="1">I118</f>
        <v>28807</v>
      </c>
      <c r="I102" s="129"/>
    </row>
    <row r="103" spans="1:35" ht="42.75" customHeight="1">
      <c r="A103" s="3606"/>
      <c r="B103" s="2583" t="s">
        <v>1434</v>
      </c>
      <c r="C103" s="2586">
        <f ca="1">C20</f>
        <v>35493</v>
      </c>
      <c r="D103" s="2587">
        <f ca="1">D20</f>
        <v>18779</v>
      </c>
      <c r="E103" s="3641" t="s">
        <v>1435</v>
      </c>
      <c r="F103" s="3642"/>
      <c r="G103" s="1827" t="s">
        <v>1436</v>
      </c>
      <c r="H103" s="2594">
        <f>IF(D36="正常操作",H104+H105+H106,H105+H106)</f>
        <v>0</v>
      </c>
      <c r="I103" s="129"/>
    </row>
    <row r="104" spans="1:35" ht="18.75" customHeight="1">
      <c r="A104" s="3606" t="s">
        <v>1437</v>
      </c>
      <c r="B104" s="2588" t="s">
        <v>1432</v>
      </c>
      <c r="C104" s="2589">
        <f ca="1">H118</f>
        <v>661</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28807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604"/>
      <c r="G107" s="1826" t="s">
        <v>1432</v>
      </c>
      <c r="H107" s="2594">
        <f ca="1">IF(E107="——","——",H101-H103)</f>
        <v>661</v>
      </c>
      <c r="I107" s="129"/>
    </row>
    <row r="108" spans="1:35" ht="18.75" customHeight="1">
      <c r="A108" s="129"/>
      <c r="B108" s="129"/>
      <c r="C108" s="129"/>
      <c r="D108" s="129"/>
      <c r="E108" s="3603"/>
      <c r="F108" s="3604"/>
      <c r="G108" s="1826" t="s">
        <v>1434</v>
      </c>
      <c r="H108" s="2554">
        <f ca="1">IF(H107=H101,H102,ROUND(H107*10000/'数据-汇总表'!E3,0))</f>
        <v>28807</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6" t="s">
        <v>1432</v>
      </c>
      <c r="H109" s="2597" t="str">
        <f>IF(E109="——","——",H101-H105-H106)</f>
        <v>——</v>
      </c>
      <c r="I109" s="129"/>
    </row>
    <row r="110" spans="1:35" ht="18.75" customHeight="1">
      <c r="A110" s="129"/>
      <c r="B110" s="129"/>
      <c r="C110" s="129"/>
      <c r="D110" s="129"/>
      <c r="E110" s="3603"/>
      <c r="F110" s="3604"/>
      <c r="G110" s="1826" t="s">
        <v>1434</v>
      </c>
      <c r="H110" s="2554"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4.抵押净值</v>
      </c>
      <c r="F111" s="3605"/>
      <c r="G111" s="1826" t="s">
        <v>1432</v>
      </c>
      <c r="H111" s="2594">
        <f ca="1">IF(E111="——","——",N59)</f>
        <v>280</v>
      </c>
      <c r="I111" s="129"/>
    </row>
    <row r="112" spans="1:35" ht="18.75" customHeight="1" thickBot="1">
      <c r="A112" s="129"/>
      <c r="B112" s="129"/>
      <c r="C112" s="129"/>
      <c r="D112" s="129"/>
      <c r="E112" s="3636"/>
      <c r="F112" s="3637"/>
      <c r="G112" s="1829" t="s">
        <v>1434</v>
      </c>
      <c r="H112" s="2598">
        <f ca="1">IF(E111="——","——",N61)</f>
        <v>12199</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229.53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661</v>
      </c>
      <c r="I118" s="2328">
        <f ca="1">ROUND(IF(D32="楼面单价",C32,H118*10000/B118),0)</f>
        <v>28807</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陆佰陆拾壹万元整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1452</v>
      </c>
      <c r="B121" s="3615"/>
      <c r="C121" s="3616"/>
      <c r="D121" s="3614" t="str">
        <f>IF(D120=0,"零元整",NUMBERSTRING(INT(D120*10000),2)&amp;"元整")</f>
        <v>零元整</v>
      </c>
      <c r="E121" s="3615"/>
      <c r="F121" s="3615"/>
      <c r="G121" s="3615"/>
      <c r="H121" s="3615"/>
      <c r="I121" s="3616"/>
      <c r="AA121" s="724"/>
    </row>
    <row r="122" spans="1:27" ht="18.75" customHeight="1">
      <c r="A122" s="3605" t="str">
        <f>IF(项目基本情况!B9="房地产市场价值","",MID(E107,3,LEN(E107)-2))</f>
        <v>房地产抵押价值</v>
      </c>
      <c r="B122" s="3605"/>
      <c r="C122" s="3605"/>
      <c r="D122" s="3638">
        <f ca="1">H107</f>
        <v>661</v>
      </c>
      <c r="E122" s="3639"/>
      <c r="F122" s="3639"/>
      <c r="G122" s="3639"/>
      <c r="H122" s="3639"/>
      <c r="I122" s="3640"/>
      <c r="AA122" s="724"/>
    </row>
    <row r="123" spans="1:27" ht="18.75" customHeight="1">
      <c r="A123" s="3574" t="s">
        <v>1452</v>
      </c>
      <c r="B123" s="3574"/>
      <c r="C123" s="3574"/>
      <c r="D123" s="3614" t="str">
        <f ca="1">NUMBERSTRING(INT(D122*10000),2)&amp;"元整"</f>
        <v>陆佰陆拾壹万元整</v>
      </c>
      <c r="E123" s="3615"/>
      <c r="F123" s="3615"/>
      <c r="G123" s="3615"/>
      <c r="H123" s="3615"/>
      <c r="I123" s="3616"/>
      <c r="AA123" s="724"/>
    </row>
    <row r="124" spans="1:27" ht="18.75" customHeight="1">
      <c r="A124" s="3605" t="str">
        <f>IF(项目基本情况!B9="房地产市场价值","",MID(E109,3,LEN(E109)-2))</f>
        <v/>
      </c>
      <c r="B124" s="3605"/>
      <c r="C124" s="3605"/>
      <c r="D124" s="3638" t="str">
        <f>H109</f>
        <v>——</v>
      </c>
      <c r="E124" s="3639"/>
      <c r="F124" s="3639"/>
      <c r="G124" s="3639"/>
      <c r="H124" s="3639"/>
      <c r="I124" s="3640"/>
      <c r="AA124" s="724"/>
    </row>
    <row r="125" spans="1:27" ht="18.75" customHeight="1">
      <c r="A125" s="3574" t="s">
        <v>1452</v>
      </c>
      <c r="B125" s="3574"/>
      <c r="C125" s="3574"/>
      <c r="D125" s="3614" t="e">
        <f>NUMBERSTRING(INT(D124*10000),2)&amp;"元整"</f>
        <v>#VALUE!</v>
      </c>
      <c r="E125" s="3615"/>
      <c r="F125" s="3615"/>
      <c r="G125" s="3615"/>
      <c r="H125" s="3615"/>
      <c r="I125" s="3616"/>
      <c r="AA125" s="724"/>
    </row>
    <row r="126" spans="1:27" ht="18.75" customHeight="1">
      <c r="A126" s="3605" t="str">
        <f>IF(项目基本情况!B9="房地产市场价值","",MID(E111,3,LEN(E111)-2))</f>
        <v>抵押净值</v>
      </c>
      <c r="B126" s="3605"/>
      <c r="C126" s="3605"/>
      <c r="D126" s="3638">
        <f ca="1">H111</f>
        <v>280</v>
      </c>
      <c r="E126" s="3639"/>
      <c r="F126" s="3639"/>
      <c r="G126" s="3639"/>
      <c r="H126" s="3639"/>
      <c r="I126" s="3640"/>
      <c r="AA126" s="724"/>
    </row>
    <row r="127" spans="1:27" ht="18.75" customHeight="1">
      <c r="A127" s="3574" t="s">
        <v>1452</v>
      </c>
      <c r="B127" s="3574"/>
      <c r="C127" s="3574"/>
      <c r="D127" s="3614" t="str">
        <f ca="1">NUMBERSTRING(INT(D126*10000),2)&amp;"元整"</f>
        <v>贰佰捌拾万元整</v>
      </c>
      <c r="E127" s="3615"/>
      <c r="F127" s="3615"/>
      <c r="G127" s="3615"/>
      <c r="H127" s="3615"/>
      <c r="I127" s="3616"/>
      <c r="AA127" s="724"/>
    </row>
    <row r="128" spans="1:27" ht="21.75" customHeight="1">
      <c r="A128" s="3621" t="s">
        <v>1453</v>
      </c>
      <c r="B128" s="3621"/>
      <c r="C128" s="3621"/>
      <c r="D128" s="3621"/>
      <c r="E128" s="3621"/>
      <c r="F128" s="3621"/>
      <c r="G128" s="3621"/>
      <c r="H128" s="3621"/>
      <c r="I128" s="362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129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229.53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5</v>
      </c>
      <c r="D37" s="217">
        <f ca="1">D19</f>
        <v>229.53</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5</v>
      </c>
      <c r="D42" s="238"/>
      <c r="E42" s="238"/>
      <c r="F42" s="239"/>
      <c r="G42" s="3654" t="s">
        <v>1544</v>
      </c>
    </row>
    <row r="43" spans="1:7" ht="13.5" customHeight="1">
      <c r="A43" s="779" t="s">
        <v>347</v>
      </c>
      <c r="B43" s="215" t="s">
        <v>1545</v>
      </c>
      <c r="C43" s="238">
        <f ca="1">ROUND(IF('数据-取费表'!B22&lt;=1,C39*F22*'数据-取费表'!B21/2,C39*(POWER((1+F22),'数据-取费表'!B21/2)-1)),0)</f>
        <v>0</v>
      </c>
      <c r="D43" s="238"/>
      <c r="E43" s="238"/>
      <c r="F43" s="239"/>
      <c r="G43" s="3655"/>
    </row>
    <row r="44" spans="1:7" ht="13.5" customHeight="1">
      <c r="A44" s="779" t="s">
        <v>348</v>
      </c>
      <c r="B44" s="215" t="s">
        <v>1546</v>
      </c>
      <c r="C44" s="238">
        <f ca="1">ROUND(IF('数据-取费表'!B22&lt;=1,C40*F22*'数据-取费表'!B21/2,C40*(POWER((1+F22),'数据-取费表'!B21/2)-1)),4)</f>
        <v>8.0000000000000004E-4</v>
      </c>
      <c r="D44" s="238"/>
      <c r="E44" s="238"/>
      <c r="F44" s="239"/>
      <c r="G44" s="3656"/>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79" t="s">
        <v>346</v>
      </c>
      <c r="B46" s="248" t="s">
        <v>1549</v>
      </c>
      <c r="C46" s="249">
        <f ca="1">ROUND((C33+C39)*F27,0)</f>
        <v>17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129</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1" t="str">
        <f>项目基本情况!B1</f>
        <v>北京市房地产抵押价值预评估</v>
      </c>
      <c r="C37" s="3471"/>
      <c r="D37" s="3471"/>
      <c r="E37" s="3471"/>
      <c r="F37" s="3471"/>
      <c r="G37" s="3471"/>
      <c r="H37" s="3471"/>
      <c r="I37" s="347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135.37950000000001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45906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45906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45906</v>
      </c>
      <c r="D10" s="844">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45906</v>
      </c>
      <c r="D19" s="848">
        <f ca="1">D9+D10</f>
        <v>229.53</v>
      </c>
      <c r="E19" s="211">
        <f>'数据-取费表'!B31</f>
        <v>200</v>
      </c>
      <c r="F19" s="231"/>
      <c r="G19" s="1855"/>
    </row>
    <row r="20" spans="1:7" s="214" customFormat="1" ht="13.5" customHeight="1">
      <c r="A20" s="255" t="s">
        <v>1574</v>
      </c>
      <c r="B20" s="210" t="s">
        <v>1575</v>
      </c>
      <c r="C20" s="232">
        <f ca="1">ROUND((C5+C19)*F20,0)</f>
        <v>1836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7854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3889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3889</v>
      </c>
      <c r="D24" s="238"/>
      <c r="E24" s="238"/>
      <c r="F24" s="239"/>
      <c r="G24" s="240" t="s">
        <v>1586</v>
      </c>
    </row>
    <row r="25" spans="1:7" s="214" customFormat="1" ht="24">
      <c r="A25" s="779" t="s">
        <v>1476</v>
      </c>
      <c r="B25" s="215" t="s">
        <v>1587</v>
      </c>
      <c r="C25" s="1127">
        <f ca="1">ROUND(IF('数据-取费表'!B22&lt;=1,C20*F22*'数据-取费表'!B22/2,C20*(POWER((1+F22),'数据-取费表'!B22/2)-1)),0)</f>
        <v>76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14047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14047</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125080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79" t="s">
        <v>351</v>
      </c>
      <c r="B35" s="215" t="s">
        <v>1527</v>
      </c>
      <c r="C35" s="220">
        <f ca="1">ROUND(C34*F35,0)</f>
        <v>30987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45906</v>
      </c>
      <c r="D37" s="217">
        <f ca="1">D19</f>
        <v>229.53</v>
      </c>
      <c r="E37" s="249">
        <f>'数据-取费表'!B35</f>
        <v>200</v>
      </c>
      <c r="F37" s="259"/>
      <c r="G37" s="261"/>
    </row>
    <row r="38" spans="1:7" ht="13.5" customHeight="1">
      <c r="A38" s="779"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47633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46699</v>
      </c>
      <c r="D42" s="238"/>
      <c r="E42" s="238"/>
      <c r="F42" s="239"/>
      <c r="G42" s="3654" t="s">
        <v>1591</v>
      </c>
    </row>
    <row r="43" spans="1:7" ht="13.5" customHeight="1">
      <c r="A43" s="779" t="s">
        <v>347</v>
      </c>
      <c r="B43" s="215" t="s">
        <v>1545</v>
      </c>
      <c r="C43" s="238">
        <f ca="1">ROUND(IF('数据-取费表'!B22&lt;=1,C39*F22*'数据-取费表'!B20/2,C39*(POWER((1+F22),'数据-取费表'!B20/2)-1)),0)</f>
        <v>934</v>
      </c>
      <c r="D43" s="238"/>
      <c r="E43" s="238"/>
      <c r="F43" s="239"/>
      <c r="G43" s="3655"/>
    </row>
    <row r="44" spans="1:7" ht="13.5" customHeight="1">
      <c r="A44" s="779" t="s">
        <v>348</v>
      </c>
      <c r="B44" s="215" t="s">
        <v>1546</v>
      </c>
      <c r="C44" s="238">
        <f ca="1">ROUND(IF('数据-取费表'!B22&lt;=1,C40*F22*'数据-取费表'!B20/2,C40*(POWER((1+F22),'数据-取费表'!B20/2)-1)),4)</f>
        <v>8.0000000000000004E-4</v>
      </c>
      <c r="D44" s="238"/>
      <c r="E44" s="238"/>
      <c r="F44" s="239"/>
      <c r="G44" s="3656"/>
    </row>
    <row r="45" spans="1:7" s="214" customFormat="1" ht="13.5" customHeight="1">
      <c r="A45" s="255" t="s">
        <v>1547</v>
      </c>
      <c r="B45" s="244" t="s">
        <v>1513</v>
      </c>
      <c r="C45" s="245">
        <f ca="1">C46</f>
        <v>172166</v>
      </c>
      <c r="D45" s="235">
        <f ca="1">C47</f>
        <v>3.0000000000000001E-3</v>
      </c>
      <c r="E45" s="236" t="s">
        <v>1539</v>
      </c>
      <c r="F45" s="246">
        <f ca="1">F27</f>
        <v>0.15</v>
      </c>
      <c r="G45" s="247" t="s">
        <v>1548</v>
      </c>
    </row>
    <row r="46" spans="1:7" s="214" customFormat="1" ht="13.5" customHeight="1">
      <c r="A46" s="779" t="s">
        <v>346</v>
      </c>
      <c r="B46" s="248" t="s">
        <v>1549</v>
      </c>
      <c r="C46" s="249">
        <f ca="1">ROUND((C33+C39)*F27,0)</f>
        <v>172166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1480380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1228715</v>
      </c>
      <c r="D51" s="232"/>
      <c r="E51" s="232"/>
      <c r="F51" s="264"/>
      <c r="G51" s="234" t="s">
        <v>1560</v>
      </c>
    </row>
    <row r="52" spans="1:7" s="208" customFormat="1" ht="16.5" thickBot="1">
      <c r="A52" s="265" t="s">
        <v>1561</v>
      </c>
      <c r="B52" s="266"/>
      <c r="C52" s="267">
        <f ca="1">C31+C51</f>
        <v>1353795</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-261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229.53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229.53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229.53</v>
      </c>
      <c r="E20" s="21">
        <f>'数据-取费表'!B28</f>
        <v>200</v>
      </c>
      <c r="F20" s="803"/>
      <c r="G20" s="12"/>
      <c r="H20" s="808"/>
      <c r="I20" s="808"/>
      <c r="J20" s="808"/>
      <c r="K20" s="809"/>
    </row>
    <row r="21" spans="1:33" s="802" customFormat="1" ht="13.5" customHeight="1">
      <c r="A21" s="789" t="s">
        <v>357</v>
      </c>
      <c r="B21" s="812" t="s">
        <v>1628</v>
      </c>
      <c r="C21" s="813">
        <f ca="1">C16+C17+C18</f>
        <v>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9" t="s">
        <v>694</v>
      </c>
      <c r="C6" s="1073">
        <f ca="1">ROUND(F6*F8*F7*(1-F9)/10000,0)</f>
        <v>0</v>
      </c>
      <c r="D6" s="155" t="s">
        <v>2108</v>
      </c>
      <c r="E6" s="302" t="s">
        <v>696</v>
      </c>
      <c r="F6" s="303">
        <f ca="1">INDIRECT("'数据-取费表'!u"&amp;$G$1)</f>
        <v>0</v>
      </c>
      <c r="G6" s="1383"/>
      <c r="H6" s="1068" t="s">
        <v>398</v>
      </c>
      <c r="I6" s="3659" t="s">
        <v>694</v>
      </c>
      <c r="J6" s="301">
        <f ca="1">ROUND(M6*M8*M7*(1-M9)/10000,0)</f>
        <v>0</v>
      </c>
      <c r="K6" s="155" t="s">
        <v>2107</v>
      </c>
      <c r="L6" s="302" t="s">
        <v>696</v>
      </c>
      <c r="M6" s="303">
        <f ca="1">INDIRECT("'数据-取费表'!z"&amp;$G$1)</f>
        <v>0</v>
      </c>
    </row>
    <row r="7" spans="1:37" ht="18" customHeight="1">
      <c r="A7" s="1072"/>
      <c r="B7" s="3660"/>
      <c r="C7" s="1074"/>
      <c r="D7" s="307"/>
      <c r="E7" s="1075" t="s">
        <v>697</v>
      </c>
      <c r="F7" s="303">
        <f ca="1">IF(INDIRECT("'数据-取费表'!ah"&amp;$G$1)="",INDIRECT("'数据-取费表'!k"&amp;$G$1),INDIRECT("'数据-取费表'!ah"&amp;$G$1))</f>
        <v>0</v>
      </c>
      <c r="G7" s="1383"/>
      <c r="H7" s="304"/>
      <c r="I7" s="3660"/>
      <c r="J7" s="306"/>
      <c r="K7" s="307"/>
      <c r="L7" s="302" t="s">
        <v>697</v>
      </c>
      <c r="M7" s="303">
        <f ca="1">F7</f>
        <v>0</v>
      </c>
    </row>
    <row r="8" spans="1:37" ht="18" customHeight="1">
      <c r="A8" s="304"/>
      <c r="B8" s="3660"/>
      <c r="C8" s="306"/>
      <c r="D8" s="307"/>
      <c r="E8" s="302" t="s">
        <v>698</v>
      </c>
      <c r="F8" s="303">
        <f ca="1">INDIRECT("'数据-取费表'!ai"&amp;$G$1)</f>
        <v>0</v>
      </c>
      <c r="G8" s="1383"/>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3"/>
      <c r="H9" s="304"/>
      <c r="I9" s="366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7" t="s">
        <v>837</v>
      </c>
      <c r="L53" s="365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22" sqref="N2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901</v>
      </c>
      <c r="E1" s="3434"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814.67079999999999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35493</v>
      </c>
      <c r="C3" s="354" t="s">
        <v>1768</v>
      </c>
      <c r="D3" s="353">
        <f>IF(D1="",'数据-汇总表'!E3,SUMIF('数据-汇总表'!$C19:$C33,D1,'数据-汇总表'!$E19:$E33))</f>
        <v>229.53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957"/>
      <c r="Y4" s="3690" t="s">
        <v>1775</v>
      </c>
      <c r="Z4" s="3691"/>
      <c r="AA4" s="3708" t="s">
        <v>1771</v>
      </c>
      <c r="AB4" s="3708" t="s">
        <v>1772</v>
      </c>
      <c r="AC4" s="3677" t="s">
        <v>1773</v>
      </c>
    </row>
    <row r="5" spans="1:29" ht="15">
      <c r="A5" s="358"/>
      <c r="B5" s="359"/>
      <c r="C5" s="3700" t="s">
        <v>1673</v>
      </c>
      <c r="D5" s="3701"/>
      <c r="E5" s="3711" t="s">
        <v>1674</v>
      </c>
      <c r="F5" s="3712"/>
      <c r="G5" s="3700" t="s">
        <v>1675</v>
      </c>
      <c r="H5" s="3701"/>
      <c r="I5" s="3700" t="s">
        <v>1676</v>
      </c>
      <c r="J5" s="3701"/>
      <c r="K5" s="559"/>
      <c r="L5" s="2714"/>
      <c r="M5" s="2715"/>
      <c r="N5" s="2715"/>
      <c r="O5" s="2715"/>
      <c r="P5" s="3686"/>
      <c r="Q5" s="3687"/>
      <c r="R5" s="3692"/>
      <c r="S5" s="3693"/>
      <c r="T5" s="3692"/>
      <c r="U5" s="3693"/>
      <c r="V5" s="3697"/>
      <c r="W5" s="3697"/>
      <c r="X5" s="1354"/>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4"/>
      <c r="M6" s="2715"/>
      <c r="N6" s="2715"/>
      <c r="O6" s="2715"/>
      <c r="P6" s="3688"/>
      <c r="Q6" s="3689"/>
      <c r="R6" s="3692"/>
      <c r="S6" s="3693"/>
      <c r="T6" s="3694"/>
      <c r="U6" s="3695"/>
      <c r="V6" s="3697"/>
      <c r="W6" s="3697"/>
      <c r="X6" s="1354"/>
      <c r="Y6" s="3694"/>
      <c r="Z6" s="3695"/>
      <c r="AA6" s="3710"/>
      <c r="AB6" s="3710"/>
      <c r="AC6" s="3679"/>
    </row>
    <row r="7" spans="1:29" s="108" customFormat="1" ht="15.75" thickBot="1">
      <c r="A7" s="362" t="s">
        <v>1679</v>
      </c>
      <c r="B7" s="363"/>
      <c r="C7" s="364">
        <f>'数据-取费表'!B2</f>
        <v>44930</v>
      </c>
      <c r="D7" s="365">
        <v>100</v>
      </c>
      <c r="E7" s="366">
        <f>C7</f>
        <v>44930</v>
      </c>
      <c r="F7" s="367">
        <f>SUMIF(59:59,YEAR(E7)&amp;"-"&amp;MONTH(E7),60:60)</f>
        <v>100</v>
      </c>
      <c r="G7" s="366">
        <f>C7</f>
        <v>44930</v>
      </c>
      <c r="H7" s="365">
        <f>SUMIF(59:59,YEAR(G7)&amp;"-"&amp;MONTH(G7),60:60)</f>
        <v>100</v>
      </c>
      <c r="I7" s="366">
        <f>C7</f>
        <v>44930</v>
      </c>
      <c r="J7" s="365">
        <f>SUMIF(59:59,YEAR(I7)&amp;"-"&amp;MONTH(I7),60:60)</f>
        <v>100</v>
      </c>
      <c r="K7" s="560"/>
      <c r="L7" s="2716"/>
      <c r="M7" s="2717"/>
      <c r="N7" s="2717"/>
      <c r="O7" s="2717"/>
      <c r="P7" s="3702" t="s">
        <v>1680</v>
      </c>
      <c r="Q7" s="3705"/>
      <c r="R7" s="700" t="s">
        <v>14</v>
      </c>
      <c r="S7" s="701">
        <f t="shared" ref="S7:S15" si="0">F7</f>
        <v>100</v>
      </c>
      <c r="T7" s="700" t="s">
        <v>14</v>
      </c>
      <c r="U7" s="701">
        <f t="shared" ref="U7:U15" si="1">H7</f>
        <v>100</v>
      </c>
      <c r="V7" s="700" t="s">
        <v>14</v>
      </c>
      <c r="W7" s="701">
        <f t="shared" ref="W7:W15" si="2">J7</f>
        <v>100</v>
      </c>
      <c r="X7" s="702"/>
      <c r="Y7" s="3704" t="s">
        <v>1680</v>
      </c>
      <c r="Z7" s="3703"/>
      <c r="AA7" s="703">
        <f>D7/F7</f>
        <v>1</v>
      </c>
      <c r="AB7" s="703">
        <f>D7/H7</f>
        <v>1</v>
      </c>
      <c r="AC7" s="1958">
        <f>D7/J7</f>
        <v>1</v>
      </c>
    </row>
    <row r="8" spans="1:29" s="108" customFormat="1" ht="15.75" thickBot="1">
      <c r="A8" s="362" t="s">
        <v>1681</v>
      </c>
      <c r="B8" s="363"/>
      <c r="C8" s="368" t="s">
        <v>3427</v>
      </c>
      <c r="D8" s="365">
        <v>100</v>
      </c>
      <c r="E8" s="3470" t="s">
        <v>3428</v>
      </c>
      <c r="F8" s="367">
        <f>SUMIF(62:62,E8,63:63)-SUMIF(62:62,C8,63:63)+100</f>
        <v>100</v>
      </c>
      <c r="G8" s="3470" t="s">
        <v>3428</v>
      </c>
      <c r="H8" s="365">
        <f>SUMIF(62:62,G8,63:63)-SUMIF(62:62,C8,63:63)+100</f>
        <v>100</v>
      </c>
      <c r="I8" s="3470" t="s">
        <v>3429</v>
      </c>
      <c r="J8" s="365">
        <f>SUMIF(62:62,I8,63:63)-SUMIF(62:62,C8,63:63)+100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4"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2"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62"/>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2"/>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2"/>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2"/>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2"/>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8" t="s">
        <v>1691</v>
      </c>
      <c r="Q15" s="1351" t="str">
        <f t="shared" si="6"/>
        <v>办公集聚程度</v>
      </c>
      <c r="R15" s="704" t="s">
        <v>14</v>
      </c>
      <c r="S15" s="705">
        <f t="shared" si="0"/>
        <v>100</v>
      </c>
      <c r="T15" s="704" t="s">
        <v>14</v>
      </c>
      <c r="U15" s="705">
        <f t="shared" si="1"/>
        <v>100</v>
      </c>
      <c r="V15" s="704" t="s">
        <v>14</v>
      </c>
      <c r="W15" s="705">
        <f t="shared" si="2"/>
        <v>100</v>
      </c>
      <c r="X15" s="1354"/>
      <c r="Y15" s="367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69"/>
      <c r="Q22" s="1351"/>
      <c r="R22" s="704"/>
      <c r="S22" s="705"/>
      <c r="T22" s="704"/>
      <c r="U22" s="705"/>
      <c r="V22" s="704"/>
      <c r="W22" s="705"/>
      <c r="X22" s="1354"/>
      <c r="Y22" s="367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9"/>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9"/>
      <c r="Q25" s="1351" t="str">
        <f>B25</f>
        <v>毗邻道路的类型与等级</v>
      </c>
      <c r="R25" s="704" t="s">
        <v>14</v>
      </c>
      <c r="S25" s="705">
        <f>F25</f>
        <v>100</v>
      </c>
      <c r="T25" s="704" t="s">
        <v>14</v>
      </c>
      <c r="U25" s="705">
        <f>H25</f>
        <v>100</v>
      </c>
      <c r="V25" s="704" t="s">
        <v>14</v>
      </c>
      <c r="W25" s="705">
        <f>J25</f>
        <v>100</v>
      </c>
      <c r="X25" s="1354"/>
      <c r="Y25" s="367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69"/>
      <c r="Q26" s="1351"/>
      <c r="R26" s="704"/>
      <c r="S26" s="705"/>
      <c r="T26" s="704"/>
      <c r="U26" s="705"/>
      <c r="V26" s="704"/>
      <c r="W26" s="705"/>
      <c r="X26" s="1354"/>
      <c r="Y26" s="3671"/>
      <c r="Z26" s="1355"/>
      <c r="AA26" s="1352">
        <v>1</v>
      </c>
      <c r="AB26" s="1352">
        <v>1</v>
      </c>
      <c r="AC26" s="1961">
        <v>1</v>
      </c>
    </row>
    <row r="27" spans="1:29" ht="15">
      <c r="A27" s="379"/>
      <c r="B27" s="580" t="s">
        <v>1783</v>
      </c>
      <c r="C27" s="3811" t="s">
        <v>3441</v>
      </c>
      <c r="D27" s="386">
        <v>100</v>
      </c>
      <c r="E27" s="3812" t="s">
        <v>3439</v>
      </c>
      <c r="F27" s="386">
        <f>SUMIF(89:89,E27,90:90)-SUMIF(89:89,C27,90:90)+100</f>
        <v>97</v>
      </c>
      <c r="G27" s="3811" t="s">
        <v>3439</v>
      </c>
      <c r="H27" s="386">
        <f>SUMIF(89:89,G27,90:90)-SUMIF(89:89,C27,90:90)+100</f>
        <v>97</v>
      </c>
      <c r="I27" s="3812" t="s">
        <v>3440</v>
      </c>
      <c r="J27" s="386">
        <f>SUMIF(89:89,I27,90:90)-SUMIF(89:89,C27,90:90)+100</f>
        <v>97</v>
      </c>
      <c r="K27" s="561">
        <v>3</v>
      </c>
      <c r="L27" s="2721"/>
      <c r="M27" s="2715"/>
      <c r="N27" s="2715"/>
      <c r="O27" s="2715"/>
      <c r="P27" s="3669"/>
      <c r="Q27" s="1351" t="str">
        <f t="shared" ref="Q27:Q47" si="11">B27</f>
        <v>楼层</v>
      </c>
      <c r="R27" s="704" t="s">
        <v>14</v>
      </c>
      <c r="S27" s="705">
        <f>F27</f>
        <v>97</v>
      </c>
      <c r="T27" s="704" t="s">
        <v>14</v>
      </c>
      <c r="U27" s="705">
        <f>H27</f>
        <v>97</v>
      </c>
      <c r="V27" s="704" t="s">
        <v>14</v>
      </c>
      <c r="W27" s="705">
        <f>J27</f>
        <v>97</v>
      </c>
      <c r="X27" s="1354"/>
      <c r="Y27" s="3671"/>
      <c r="Z27" s="1355" t="str">
        <f>Q27</f>
        <v>楼层</v>
      </c>
      <c r="AA27" s="1352">
        <f t="shared" si="3"/>
        <v>1.0309278350515463</v>
      </c>
      <c r="AB27" s="1352">
        <f t="shared" si="4"/>
        <v>1.0309278350515463</v>
      </c>
      <c r="AC27" s="1961">
        <f t="shared" si="5"/>
        <v>1.0309278350515463</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9"/>
      <c r="Q28" s="1342" t="str">
        <f t="shared" si="11"/>
        <v>朝向</v>
      </c>
      <c r="R28" s="700" t="s">
        <v>14</v>
      </c>
      <c r="S28" s="701">
        <f>F28</f>
        <v>100</v>
      </c>
      <c r="T28" s="700" t="s">
        <v>14</v>
      </c>
      <c r="U28" s="701">
        <f>H28</f>
        <v>100</v>
      </c>
      <c r="V28" s="700" t="s">
        <v>14</v>
      </c>
      <c r="W28" s="701">
        <f>J28</f>
        <v>100</v>
      </c>
      <c r="X28" s="702"/>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9"/>
      <c r="Q29" s="1351">
        <f t="shared" si="11"/>
        <v>111</v>
      </c>
      <c r="R29" s="704" t="s">
        <v>14</v>
      </c>
      <c r="S29" s="705">
        <f t="shared" ref="S29:S47" si="12">F29</f>
        <v>100</v>
      </c>
      <c r="T29" s="704" t="s">
        <v>14</v>
      </c>
      <c r="U29" s="705">
        <f t="shared" ref="U29:U47" si="13">H29</f>
        <v>100</v>
      </c>
      <c r="V29" s="704" t="s">
        <v>14</v>
      </c>
      <c r="W29" s="705">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9"/>
      <c r="Q32" s="1351">
        <f t="shared" si="11"/>
        <v>111</v>
      </c>
      <c r="R32" s="704" t="s">
        <v>14</v>
      </c>
      <c r="S32" s="705">
        <f t="shared" si="12"/>
        <v>100</v>
      </c>
      <c r="T32" s="704" t="s">
        <v>14</v>
      </c>
      <c r="U32" s="705">
        <f t="shared" si="13"/>
        <v>100</v>
      </c>
      <c r="V32" s="704" t="s">
        <v>14</v>
      </c>
      <c r="W32" s="705">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2" t="s">
        <v>1696</v>
      </c>
      <c r="Q33" s="1351" t="str">
        <f t="shared" si="11"/>
        <v>建筑类型</v>
      </c>
      <c r="R33" s="704" t="s">
        <v>14</v>
      </c>
      <c r="S33" s="705">
        <f t="shared" si="12"/>
        <v>100</v>
      </c>
      <c r="T33" s="704" t="s">
        <v>14</v>
      </c>
      <c r="U33" s="705">
        <f t="shared" si="13"/>
        <v>100</v>
      </c>
      <c r="V33" s="704" t="s">
        <v>14</v>
      </c>
      <c r="W33" s="705">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f>D3</f>
        <v>229.53</v>
      </c>
      <c r="D34" s="127">
        <v>100</v>
      </c>
      <c r="E34" s="381">
        <f>Sheet1!I5</f>
        <v>229.53</v>
      </c>
      <c r="F34" s="376">
        <f>LOOKUP(E34,104:104,105:105)-LOOKUP(C34,104:104,105:105)+100</f>
        <v>100</v>
      </c>
      <c r="G34" s="380">
        <f>Sheet1!I6</f>
        <v>89.91</v>
      </c>
      <c r="H34" s="127">
        <f>LOOKUP(G34,104:104,105:105)-LOOKUP(C34,104:104,105:105)+100</f>
        <v>102</v>
      </c>
      <c r="I34" s="380">
        <f>Sheet1!I7</f>
        <v>111.32</v>
      </c>
      <c r="J34" s="127">
        <f>LOOKUP(I34,104:104,105:105)-LOOKUP(C34,104:104,105:105)+100</f>
        <v>101</v>
      </c>
      <c r="K34" s="562"/>
      <c r="L34" s="2720"/>
      <c r="M34" s="2722"/>
      <c r="N34" s="2722"/>
      <c r="O34" s="2722"/>
      <c r="P34" s="3673"/>
      <c r="Q34" s="706" t="str">
        <f t="shared" si="11"/>
        <v>项目建筑规模</v>
      </c>
      <c r="R34" s="707" t="s">
        <v>14</v>
      </c>
      <c r="S34" s="708">
        <f t="shared" si="12"/>
        <v>100</v>
      </c>
      <c r="T34" s="707" t="s">
        <v>14</v>
      </c>
      <c r="U34" s="708">
        <f t="shared" si="13"/>
        <v>102</v>
      </c>
      <c r="V34" s="707" t="s">
        <v>14</v>
      </c>
      <c r="W34" s="708">
        <f t="shared" si="14"/>
        <v>101</v>
      </c>
      <c r="X34" s="709"/>
      <c r="Y34" s="3675"/>
      <c r="Z34" s="710" t="str">
        <f t="shared" si="15"/>
        <v>项目建筑规模</v>
      </c>
      <c r="AA34" s="1352">
        <f t="shared" si="3"/>
        <v>1</v>
      </c>
      <c r="AB34" s="1352">
        <f t="shared" si="4"/>
        <v>0.98039215686274506</v>
      </c>
      <c r="AC34" s="1961">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1" t="str">
        <f t="shared" si="11"/>
        <v>建筑结构</v>
      </c>
      <c r="R35" s="704" t="s">
        <v>14</v>
      </c>
      <c r="S35" s="705">
        <f t="shared" si="12"/>
        <v>100</v>
      </c>
      <c r="T35" s="704" t="s">
        <v>14</v>
      </c>
      <c r="U35" s="705">
        <f t="shared" si="13"/>
        <v>100</v>
      </c>
      <c r="V35" s="704" t="s">
        <v>14</v>
      </c>
      <c r="W35" s="705">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1" t="str">
        <f t="shared" si="11"/>
        <v>公共部分装修</v>
      </c>
      <c r="R36" s="704" t="s">
        <v>14</v>
      </c>
      <c r="S36" s="705">
        <f t="shared" si="12"/>
        <v>100</v>
      </c>
      <c r="T36" s="704" t="s">
        <v>14</v>
      </c>
      <c r="U36" s="705">
        <f t="shared" si="13"/>
        <v>100</v>
      </c>
      <c r="V36" s="704" t="s">
        <v>14</v>
      </c>
      <c r="W36" s="705">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61"/>
      <c r="L37" s="2721"/>
      <c r="M37" s="2715"/>
      <c r="N37" s="2715"/>
      <c r="O37" s="2715"/>
      <c r="P37" s="3673"/>
      <c r="Q37" s="1351" t="str">
        <f t="shared" si="11"/>
        <v>成新度</v>
      </c>
      <c r="R37" s="704" t="s">
        <v>14</v>
      </c>
      <c r="S37" s="705">
        <f t="shared" si="12"/>
        <v>100</v>
      </c>
      <c r="T37" s="704" t="s">
        <v>14</v>
      </c>
      <c r="U37" s="705">
        <f t="shared" si="13"/>
        <v>100</v>
      </c>
      <c r="V37" s="704" t="s">
        <v>14</v>
      </c>
      <c r="W37" s="705">
        <f t="shared" si="14"/>
        <v>100</v>
      </c>
      <c r="X37" s="1354"/>
      <c r="Y37" s="3675"/>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2"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1" t="str">
        <f t="shared" si="11"/>
        <v>物业管理</v>
      </c>
      <c r="R39" s="704" t="s">
        <v>14</v>
      </c>
      <c r="S39" s="705">
        <f t="shared" si="12"/>
        <v>100</v>
      </c>
      <c r="T39" s="704" t="s">
        <v>14</v>
      </c>
      <c r="U39" s="705">
        <f t="shared" si="13"/>
        <v>100</v>
      </c>
      <c r="V39" s="704" t="s">
        <v>14</v>
      </c>
      <c r="W39" s="705">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1" t="str">
        <f t="shared" si="11"/>
        <v>市政基础设施</v>
      </c>
      <c r="R40" s="704" t="s">
        <v>14</v>
      </c>
      <c r="S40" s="705">
        <f t="shared" si="12"/>
        <v>100</v>
      </c>
      <c r="T40" s="704" t="s">
        <v>14</v>
      </c>
      <c r="U40" s="705">
        <f t="shared" si="13"/>
        <v>100</v>
      </c>
      <c r="V40" s="704" t="s">
        <v>14</v>
      </c>
      <c r="W40" s="705">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1" t="str">
        <f t="shared" si="11"/>
        <v>层高</v>
      </c>
      <c r="R41" s="704" t="s">
        <v>14</v>
      </c>
      <c r="S41" s="705">
        <f t="shared" si="12"/>
        <v>100</v>
      </c>
      <c r="T41" s="704" t="s">
        <v>14</v>
      </c>
      <c r="U41" s="705">
        <f t="shared" si="13"/>
        <v>100</v>
      </c>
      <c r="V41" s="704" t="s">
        <v>14</v>
      </c>
      <c r="W41" s="705">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2">
        <f t="shared" si="3"/>
        <v>1</v>
      </c>
      <c r="AB42" s="1352">
        <f t="shared" si="4"/>
        <v>1</v>
      </c>
      <c r="AC42" s="1961">
        <f t="shared" si="5"/>
        <v>1</v>
      </c>
    </row>
    <row r="43" spans="1:29" ht="15">
      <c r="A43" s="423"/>
      <c r="B43" s="375" t="s">
        <v>1792</v>
      </c>
      <c r="C43" s="3814" t="s">
        <v>3445</v>
      </c>
      <c r="D43" s="386">
        <v>100</v>
      </c>
      <c r="E43" s="3814" t="s">
        <v>3445</v>
      </c>
      <c r="F43" s="412">
        <f>SUMIF(123:123,E43,124:124)-SUMIF(123:123,C43,124:124)+100</f>
        <v>100</v>
      </c>
      <c r="G43" s="3814" t="s">
        <v>3446</v>
      </c>
      <c r="H43" s="386">
        <f>SUMIF(123:123,G43,124:124)-SUMIF(123:123,C43,124:124)+100</f>
        <v>98</v>
      </c>
      <c r="I43" s="3814" t="s">
        <v>3446</v>
      </c>
      <c r="J43" s="386">
        <f>SUMIF(123:123,I43,124:124)-SUMIF(123:123,C43,124:124)+100</f>
        <v>98</v>
      </c>
      <c r="K43" s="561">
        <v>2</v>
      </c>
      <c r="L43" s="2721"/>
      <c r="M43" s="2715"/>
      <c r="N43" s="2715"/>
      <c r="O43" s="2715"/>
      <c r="P43" s="3673"/>
      <c r="Q43" s="1351" t="str">
        <f t="shared" si="11"/>
        <v>内部装修</v>
      </c>
      <c r="R43" s="704" t="s">
        <v>14</v>
      </c>
      <c r="S43" s="705">
        <f t="shared" si="12"/>
        <v>100</v>
      </c>
      <c r="T43" s="704" t="s">
        <v>14</v>
      </c>
      <c r="U43" s="705">
        <f t="shared" si="13"/>
        <v>98</v>
      </c>
      <c r="V43" s="704" t="s">
        <v>14</v>
      </c>
      <c r="W43" s="705">
        <f t="shared" si="14"/>
        <v>98</v>
      </c>
      <c r="X43" s="1354"/>
      <c r="Y43" s="3675"/>
      <c r="Z43" s="1355" t="str">
        <f t="shared" si="15"/>
        <v>内部装修</v>
      </c>
      <c r="AA43" s="1352">
        <f t="shared" si="3"/>
        <v>1</v>
      </c>
      <c r="AB43" s="1352">
        <f t="shared" si="4"/>
        <v>1.0204081632653061</v>
      </c>
      <c r="AC43" s="1961">
        <f t="shared" si="5"/>
        <v>1.0204081632653061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3"/>
      <c r="Q44" s="1351" t="str">
        <f t="shared" si="11"/>
        <v>内部装修维护情况</v>
      </c>
      <c r="R44" s="704" t="s">
        <v>14</v>
      </c>
      <c r="S44" s="705">
        <f t="shared" si="12"/>
        <v>100</v>
      </c>
      <c r="T44" s="704" t="s">
        <v>14</v>
      </c>
      <c r="U44" s="705">
        <f t="shared" si="13"/>
        <v>100</v>
      </c>
      <c r="V44" s="704" t="s">
        <v>14</v>
      </c>
      <c r="W44" s="705">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2">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1">
        <f t="shared" si="11"/>
        <v>111</v>
      </c>
      <c r="R47" s="704" t="s">
        <v>14</v>
      </c>
      <c r="S47" s="705">
        <f t="shared" si="12"/>
        <v>100</v>
      </c>
      <c r="T47" s="704" t="s">
        <v>14</v>
      </c>
      <c r="U47" s="705">
        <f t="shared" si="13"/>
        <v>100</v>
      </c>
      <c r="V47" s="704" t="s">
        <v>14</v>
      </c>
      <c r="W47" s="705">
        <f t="shared" si="14"/>
        <v>100</v>
      </c>
      <c r="X47" s="1354"/>
      <c r="Y47" s="3676"/>
      <c r="Z47" s="1355">
        <f t="shared" si="15"/>
        <v>111</v>
      </c>
      <c r="AA47" s="1352">
        <f t="shared" si="3"/>
        <v>1</v>
      </c>
      <c r="AB47" s="1352">
        <f t="shared" si="4"/>
        <v>1</v>
      </c>
      <c r="AC47" s="1961">
        <f t="shared" si="5"/>
        <v>1</v>
      </c>
    </row>
    <row r="48" spans="1:29" ht="15">
      <c r="A48" s="430" t="s">
        <v>1708</v>
      </c>
      <c r="B48" s="431"/>
      <c r="C48" s="1153" t="s">
        <v>0</v>
      </c>
      <c r="D48" s="1154"/>
      <c r="E48" s="1155">
        <f>Sheet1!L5</f>
        <v>36625</v>
      </c>
      <c r="F48" s="1156"/>
      <c r="G48" s="1157">
        <f>Sheet1!L6</f>
        <v>33089</v>
      </c>
      <c r="H48" s="1158"/>
      <c r="I48" s="1155">
        <f>Sheet1!L7</f>
        <v>33215</v>
      </c>
      <c r="J48" s="436"/>
      <c r="K48" s="713"/>
      <c r="L48" s="2723"/>
      <c r="M48" s="2715"/>
      <c r="N48" s="2715"/>
      <c r="O48" s="2715"/>
      <c r="P48" s="3662" t="str">
        <f>A48</f>
        <v>成交单价（元/平方米）</v>
      </c>
      <c r="Q48" s="3663"/>
      <c r="R48" s="3664">
        <f>E48</f>
        <v>36625</v>
      </c>
      <c r="S48" s="3664"/>
      <c r="T48" s="3664">
        <f>G48</f>
        <v>33089</v>
      </c>
      <c r="U48" s="3664"/>
      <c r="V48" s="3664">
        <f>I48</f>
        <v>33215</v>
      </c>
      <c r="W48" s="3664"/>
      <c r="X48" s="397"/>
      <c r="Y48" s="711"/>
      <c r="Z48" s="397"/>
      <c r="AA48" s="397"/>
      <c r="AB48" s="397"/>
      <c r="AC48" s="578"/>
    </row>
    <row r="49" spans="1:29" ht="15.75" thickBot="1">
      <c r="A49" s="437" t="s">
        <v>1793</v>
      </c>
      <c r="B49" s="438"/>
      <c r="C49" s="1159">
        <f>R50</f>
        <v>35493</v>
      </c>
      <c r="D49" s="2316" t="s">
        <v>2137</v>
      </c>
      <c r="E49" s="1160">
        <f>R49</f>
        <v>37758</v>
      </c>
      <c r="F49" s="2317"/>
      <c r="G49" s="1159">
        <f>T49</f>
        <v>34126</v>
      </c>
      <c r="H49" s="2317"/>
      <c r="I49" s="1160">
        <f>V49</f>
        <v>34595</v>
      </c>
      <c r="J49" s="2317"/>
      <c r="K49" s="2319">
        <f>F49+H49+J49</f>
        <v>0</v>
      </c>
      <c r="L49" s="2723"/>
      <c r="M49" s="2715"/>
      <c r="N49" s="2715"/>
      <c r="O49" s="2715"/>
      <c r="P49" s="3662" t="str">
        <f>A49</f>
        <v>比较价值（元/平方米）</v>
      </c>
      <c r="Q49" s="3663"/>
      <c r="R49" s="3664">
        <f>IF(F1="售价",ROUND(PRODUCT(R48,AA7:AA47),0),ROUND(PRODUCT(R48,AA7:AA47),1))</f>
        <v>37758</v>
      </c>
      <c r="S49" s="3664"/>
      <c r="T49" s="3664">
        <f>IF(F1="售价",ROUND(PRODUCT(T48,AB7:AB47),0),ROUND(PRODUCT(T48,AB7:AB47),1))</f>
        <v>34126</v>
      </c>
      <c r="U49" s="3664"/>
      <c r="V49" s="3664">
        <f>IF(F1="售价",ROUND(PRODUCT(V48,AC7:AC47),0),ROUND(PRODUCT(V48,AC7:AC47),1))</f>
        <v>34595</v>
      </c>
      <c r="W49" s="3664"/>
      <c r="X49" s="397"/>
      <c r="Y49" s="397"/>
      <c r="Z49" s="397"/>
      <c r="AA49" s="397"/>
      <c r="AB49" s="397"/>
      <c r="AC49" s="578"/>
    </row>
    <row r="50" spans="1:29" ht="15.75" thickBot="1">
      <c r="A50" s="441" t="s">
        <v>1794</v>
      </c>
      <c r="B50" s="442"/>
      <c r="C50" s="1162">
        <f>R50</f>
        <v>35493</v>
      </c>
      <c r="D50" s="1162"/>
      <c r="E50" s="1162"/>
      <c r="F50" s="1162"/>
      <c r="G50" s="1162"/>
      <c r="H50" s="1162"/>
      <c r="I50" s="1162"/>
      <c r="J50" s="443"/>
      <c r="K50" s="714"/>
      <c r="L50" s="2723"/>
      <c r="M50" s="2715"/>
      <c r="N50" s="2715"/>
      <c r="O50" s="2715"/>
      <c r="P50" s="3665" t="str">
        <f>A50</f>
        <v>估价对象XX用房的比较价值（楼面单价，元/平方米）</v>
      </c>
      <c r="Q50" s="3666"/>
      <c r="R50" s="3667">
        <f>IF(F1="售价",ROUND(IF(D49="简单平均",AVERAGE(R49:V49),R49*F49+T49*H49+V49*J49),0),ROUND(IF(D49="简单平均",AVERAGE(R49:V49),R49*F49+T49*H49+V49*J49),1))</f>
        <v>35493</v>
      </c>
      <c r="S50" s="3667"/>
      <c r="T50" s="3667"/>
      <c r="U50" s="3667"/>
      <c r="V50" s="3667"/>
      <c r="W50" s="366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3.0935153583617758E-2</v>
      </c>
      <c r="F53" s="449" t="str">
        <f>IF(OR(E53&gt;=0.3,E53&lt;=-0.3),"超过30%","")</f>
        <v/>
      </c>
      <c r="G53" s="448">
        <f>IF(G48&lt;G49,G49/G48-1,G48/G49-1)</f>
        <v>3.1339720148689798E-2</v>
      </c>
      <c r="H53" s="449" t="str">
        <f>IF(OR(G53&gt;=0.3,G53&lt;=-0.3),"超过30%","")</f>
        <v/>
      </c>
      <c r="I53" s="448">
        <f>IF(I48&lt;I49,I49/I48-1,I48/I49-1)</f>
        <v>4.1547493602288155E-2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0.10642911563031121</v>
      </c>
      <c r="F54" s="449" t="str">
        <f>IF(OR(E54&gt;=0.2,E54&lt;=-0.2),"超过20%","")</f>
        <v/>
      </c>
      <c r="G54" s="448">
        <f>IF(G49&lt;I49,I49/G49-1,G49/I49-1)</f>
        <v>1.3743187012834834E-2</v>
      </c>
      <c r="H54" s="449" t="str">
        <f>IF(OR(G54&gt;=0.2,G54&lt;=-0.2),"超过20%","")</f>
        <v/>
      </c>
      <c r="I54" s="448">
        <f>IF(I49&lt;E49,E49/I49-1,I49/E49-1)</f>
        <v>9.1429397311750149E-2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0.10686330804799171</v>
      </c>
      <c r="F55" s="449" t="str">
        <f>IF(OR(E55&gt;=0.3,E55&lt;=-0.3),"超过30%","")</f>
        <v/>
      </c>
      <c r="G55" s="448">
        <f>IF(G48&lt;I48,I48/G48-1,G48/I48-1)</f>
        <v>3.807911994922808E-3</v>
      </c>
      <c r="H55" s="449" t="str">
        <f>IF(OR(G55&gt;=0.3,G55&lt;=-0.3),"超过30%","")</f>
        <v/>
      </c>
      <c r="I55" s="448">
        <f>IF(I48&lt;E48,E48/I48-1,I48/E48-1)</f>
        <v>0.10266445882884234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813" t="s">
        <v>3442</v>
      </c>
      <c r="D89" s="3813" t="s">
        <v>3439</v>
      </c>
      <c r="E89" s="3813" t="s">
        <v>3443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813" t="s">
        <v>3444</v>
      </c>
      <c r="D123" s="3813" t="s">
        <v>3445</v>
      </c>
      <c r="E123" s="3813" t="s">
        <v>3446</v>
      </c>
      <c r="F123" s="3815" t="s">
        <v>3447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901</v>
      </c>
      <c r="D1" s="1361" t="s">
        <v>43</v>
      </c>
      <c r="E1" s="1362" t="s">
        <v>678</v>
      </c>
      <c r="F1" s="1061">
        <f ca="1">J53</f>
        <v>35.56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431.03570000000002</v>
      </c>
      <c r="C2" s="1386" t="s">
        <v>879</v>
      </c>
      <c r="D2" s="1470">
        <f ca="1">C40+J29+L46</f>
        <v>4310357</v>
      </c>
      <c r="E2" s="1387" t="s">
        <v>880</v>
      </c>
      <c r="F2" s="1388"/>
      <c r="G2" s="2705"/>
      <c r="H2" s="2694"/>
      <c r="I2" s="2694"/>
      <c r="J2" s="2694"/>
      <c r="K2" s="2695"/>
      <c r="L2" s="2694"/>
      <c r="M2" s="2694"/>
    </row>
    <row r="3" spans="1:37" ht="18" customHeight="1" thickBot="1">
      <c r="A3" s="1389" t="s">
        <v>881</v>
      </c>
      <c r="B3" s="1390">
        <f ca="1">IF(ISERROR(D2/F43),0,ROUND(D2/F43,0))</f>
        <v>18779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264232</v>
      </c>
      <c r="D5" s="1363" t="s">
        <v>889</v>
      </c>
      <c r="E5" s="1070"/>
      <c r="F5" s="1071"/>
      <c r="G5" s="1383"/>
      <c r="H5" s="299">
        <v>1</v>
      </c>
      <c r="I5" s="300" t="s">
        <v>888</v>
      </c>
      <c r="J5" s="1069">
        <f ca="1">J6+J10+J12</f>
        <v>0</v>
      </c>
      <c r="K5" s="1363" t="s">
        <v>889</v>
      </c>
      <c r="L5" s="1070"/>
      <c r="M5" s="1071"/>
    </row>
    <row r="6" spans="1:37" ht="18" customHeight="1">
      <c r="A6" s="1068" t="s">
        <v>398</v>
      </c>
      <c r="B6" s="3659" t="s">
        <v>694</v>
      </c>
      <c r="C6" s="1073">
        <f ca="1">ROUND(F6*F8*F7*(1-F9),0)</f>
        <v>263902</v>
      </c>
      <c r="D6" s="155" t="s">
        <v>2105</v>
      </c>
      <c r="E6" s="302" t="s">
        <v>696</v>
      </c>
      <c r="F6" s="303">
        <f ca="1">INDIRECT("'数据-取费表'!u"&amp;$G$1)</f>
        <v>3.5</v>
      </c>
      <c r="G6" s="1383"/>
      <c r="H6" s="1068" t="s">
        <v>398</v>
      </c>
      <c r="I6" s="3659" t="s">
        <v>694</v>
      </c>
      <c r="J6" s="301">
        <f ca="1">ROUND(M6*M8*M7*(1-M9),0)</f>
        <v>0</v>
      </c>
      <c r="K6" s="1375" t="s">
        <v>2106</v>
      </c>
      <c r="L6" s="302" t="s">
        <v>696</v>
      </c>
      <c r="M6" s="303">
        <f ca="1">INDIRECT("'数据-取费表'!z"&amp;$G$1)</f>
        <v>0</v>
      </c>
    </row>
    <row r="7" spans="1:37" ht="18" customHeight="1">
      <c r="A7" s="1072"/>
      <c r="B7" s="3660"/>
      <c r="C7" s="1074"/>
      <c r="D7" s="307"/>
      <c r="E7" s="1075" t="s">
        <v>697</v>
      </c>
      <c r="F7" s="303">
        <f ca="1">IF(INDIRECT("'数据-取费表'!ah"&amp;$G$1)="",INDIRECT("'数据-取费表'!k"&amp;$G$1),INDIRECT("'数据-取费表'!ah"&amp;$G$1))</f>
        <v>229.53</v>
      </c>
      <c r="G7" s="1383"/>
      <c r="H7" s="304"/>
      <c r="I7" s="3660"/>
      <c r="J7" s="306"/>
      <c r="K7" s="307"/>
      <c r="L7" s="302" t="s">
        <v>697</v>
      </c>
      <c r="M7" s="303">
        <f ca="1">F7</f>
        <v>229.53</v>
      </c>
    </row>
    <row r="8" spans="1:37" ht="18" customHeight="1">
      <c r="A8" s="304"/>
      <c r="B8" s="3660"/>
      <c r="C8" s="306"/>
      <c r="D8" s="307"/>
      <c r="E8" s="302" t="s">
        <v>698</v>
      </c>
      <c r="F8" s="303">
        <f ca="1">INDIRECT("'数据-取费表'!ai"&amp;$G$1)</f>
        <v>365</v>
      </c>
      <c r="G8" s="1383"/>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3"/>
      <c r="H9" s="304"/>
      <c r="I9" s="3661"/>
      <c r="J9" s="306"/>
      <c r="K9" s="307"/>
      <c r="L9" s="313" t="s">
        <v>699</v>
      </c>
      <c r="M9" s="314">
        <f ca="1">INDIRECT("'数据-取费表'!ab"&amp;$G$1)</f>
        <v>0</v>
      </c>
    </row>
    <row r="10" spans="1:37" ht="18" customHeight="1">
      <c r="A10" s="1068" t="s">
        <v>402</v>
      </c>
      <c r="B10" s="1364" t="s">
        <v>700</v>
      </c>
      <c r="C10" s="316">
        <f ca="1">ROUND(IF(F10="押一",C6/12*F11,IF(F10="押二",C6/12*2*F11,IF(F10="押三",C6/12*3*F11,C11*F11))),0)</f>
        <v>330</v>
      </c>
      <c r="D10" s="1365" t="s">
        <v>2115</v>
      </c>
      <c r="E10" s="313" t="s">
        <v>701</v>
      </c>
      <c r="F10" s="1115" t="s">
        <v>3424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1228715</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1032885</v>
      </c>
      <c r="D14" s="1344" t="s">
        <v>708</v>
      </c>
      <c r="E14" s="1341"/>
      <c r="F14" s="319"/>
      <c r="G14" s="1383"/>
      <c r="H14" s="981" t="s">
        <v>398</v>
      </c>
      <c r="I14" s="302" t="s">
        <v>709</v>
      </c>
      <c r="J14" s="21">
        <f ca="1">C29</f>
        <v>1480380</v>
      </c>
      <c r="K14" s="12"/>
      <c r="L14" s="806"/>
      <c r="M14" s="807"/>
    </row>
    <row r="15" spans="1:37" s="1396" customFormat="1" ht="18" customHeight="1" thickBot="1">
      <c r="A15" s="981" t="s">
        <v>399</v>
      </c>
      <c r="B15" s="302" t="s">
        <v>710</v>
      </c>
      <c r="C15" s="21">
        <f ca="1">ROUND(C14*F15,0)</f>
        <v>30987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14804</v>
      </c>
      <c r="K16" s="1086" t="s">
        <v>715</v>
      </c>
      <c r="L16" s="1087"/>
      <c r="M16" s="1071"/>
    </row>
    <row r="17" spans="1:37" s="1396" customFormat="1" ht="18" customHeight="1">
      <c r="A17" s="981" t="s">
        <v>681</v>
      </c>
      <c r="B17" s="302" t="s">
        <v>716</v>
      </c>
      <c r="C17" s="21">
        <f ca="1">ROUND(F17*(F43+INDIRECT("'数据-取费表'!S"&amp;$G$1)),0)</f>
        <v>45906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15493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1125271</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22505</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14804</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47633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-14804</v>
      </c>
      <c r="K25" s="1094" t="s">
        <v>753</v>
      </c>
      <c r="L25" s="1095"/>
      <c r="M25" s="1096"/>
    </row>
    <row r="26" spans="1:37" ht="18" customHeight="1">
      <c r="A26" s="981" t="s">
        <v>397</v>
      </c>
      <c r="B26" s="302" t="s">
        <v>754</v>
      </c>
      <c r="C26" s="21">
        <f ca="1">ROUND((C19+C20)*F26,0)</f>
        <v>172166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1480380</v>
      </c>
      <c r="D29" s="1091"/>
      <c r="E29" s="1089"/>
      <c r="F29" s="1092"/>
      <c r="G29" s="1395"/>
      <c r="H29" s="334" t="s">
        <v>396</v>
      </c>
      <c r="I29" s="335" t="s">
        <v>768</v>
      </c>
      <c r="J29" s="336">
        <f ca="1">ROUND(J26/(1+F40)^F41,0)</f>
        <v>0</v>
      </c>
      <c r="K29" s="337" t="s">
        <v>769</v>
      </c>
      <c r="L29" s="338"/>
      <c r="M29" s="339">
        <f ca="1">INDIRECT("'数据-取费表'!k"&amp;$G$1)</f>
        <v>229.53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43983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13823</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30160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14804</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1229</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2642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201574</v>
      </c>
      <c r="D39" s="1094" t="s">
        <v>773</v>
      </c>
      <c r="E39" s="1095"/>
      <c r="F39" s="1096"/>
      <c r="G39" s="1383"/>
      <c r="H39" s="2699"/>
      <c r="I39" s="1397"/>
      <c r="J39" s="1398"/>
      <c r="K39" s="2703"/>
      <c r="L39" s="2699"/>
      <c r="M39" s="2699"/>
    </row>
    <row r="40" spans="1:18" ht="18" customHeight="1">
      <c r="A40" s="299" t="s">
        <v>395</v>
      </c>
      <c r="B40" s="300" t="s">
        <v>774</v>
      </c>
      <c r="C40" s="301">
        <f ca="1">ROUND(C39*(1-((1+F42)/(1+F40))^F41)/(F40-F42),0)</f>
        <v>4310357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35.56</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18779</v>
      </c>
      <c r="D43" s="337" t="s">
        <v>777</v>
      </c>
      <c r="E43" s="338" t="s">
        <v>778</v>
      </c>
      <c r="F43" s="339">
        <f ca="1">INDIRECT("'数据-取费表'!k"&amp;$G$1)</f>
        <v>229.53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-455.84359999999998</v>
      </c>
      <c r="D45" s="3433" t="s">
        <v>3361</v>
      </c>
      <c r="E45" s="1399"/>
      <c r="F45" s="1399"/>
      <c r="O45" s="1402" t="s">
        <v>808</v>
      </c>
      <c r="P45" s="1460"/>
      <c r="Q45" s="1460"/>
      <c r="R45" s="1460"/>
    </row>
    <row r="46" spans="1:18" s="1383" customFormat="1" ht="13.5" thickBot="1">
      <c r="A46" s="1403" t="s">
        <v>809</v>
      </c>
      <c r="C46" s="1404">
        <f ca="1">ROUND(C45,0)</f>
        <v>-456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3425</v>
      </c>
      <c r="K47" s="1415" t="s">
        <v>816</v>
      </c>
      <c r="L47" s="1416">
        <f ca="1">INDIRECT("'数据-取费表'!d"&amp;$G$1)</f>
        <v>50</v>
      </c>
      <c r="M47" s="1379" t="str">
        <f>IF(ISNUMBER(FIND("住宅",C1)),"住宅","非住宅")</f>
        <v>非住宅</v>
      </c>
      <c r="O47" s="1417" t="s">
        <v>403</v>
      </c>
      <c r="P47" s="1418" t="s">
        <v>817</v>
      </c>
      <c r="Q47" s="1419">
        <f ca="1">C40+J29</f>
        <v>4310357</v>
      </c>
      <c r="R47" s="1419" t="s">
        <v>818</v>
      </c>
    </row>
    <row r="48" spans="1:18" s="1383" customFormat="1" ht="28.5" thickBot="1">
      <c r="A48" s="1109" t="s">
        <v>438</v>
      </c>
      <c r="B48" s="300" t="s">
        <v>692</v>
      </c>
      <c r="C48" s="1358">
        <f ca="1">C49+C53+C55</f>
        <v>0</v>
      </c>
      <c r="D48" s="1111"/>
      <c r="E48" s="1112"/>
      <c r="F48" s="961"/>
      <c r="G48" s="721"/>
      <c r="H48" s="722"/>
      <c r="I48" s="1420" t="s">
        <v>819</v>
      </c>
      <c r="J48" s="1421" t="s">
        <v>3426</v>
      </c>
      <c r="K48" s="1422" t="s">
        <v>820</v>
      </c>
      <c r="L48" s="1423">
        <f ca="1">INDIRECT("'数据-取费表'!f"&amp;$G$1)</f>
        <v>35.56</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1480380</v>
      </c>
      <c r="R49" s="1419" t="s">
        <v>818</v>
      </c>
    </row>
    <row r="50" spans="1:18" s="1383" customFormat="1" ht="13.5" thickBot="1">
      <c r="A50" s="975"/>
      <c r="B50" s="978"/>
      <c r="C50" s="979"/>
      <c r="D50" s="952"/>
      <c r="E50" s="1055" t="s">
        <v>697</v>
      </c>
      <c r="F50" s="1056">
        <f ca="1">F7</f>
        <v>229.53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2109727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35.56</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35.56</v>
      </c>
      <c r="K53" s="3657" t="s">
        <v>837</v>
      </c>
      <c r="L53" s="3658"/>
      <c r="O53" s="1417" t="s">
        <v>409</v>
      </c>
      <c r="P53" s="1418" t="s">
        <v>838</v>
      </c>
      <c r="Q53" s="1419">
        <f ca="1">Q47+Q48</f>
        <v>4310357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1228715</v>
      </c>
      <c r="D56" s="1446"/>
      <c r="E56" s="1447"/>
      <c r="F56" s="1439"/>
      <c r="I56" s="1448" t="s">
        <v>842</v>
      </c>
      <c r="J56" s="1449" t="s">
        <v>3378</v>
      </c>
      <c r="K56" s="1420" t="s">
        <v>843</v>
      </c>
      <c r="L56" s="1423" t="str">
        <f ca="1">IF(L48&lt;J51,"——",L48-J51)</f>
        <v>——</v>
      </c>
      <c r="O56" s="1417" t="s">
        <v>403</v>
      </c>
      <c r="P56" s="1418" t="s">
        <v>817</v>
      </c>
      <c r="Q56" s="1419">
        <f ca="1">C40+J29</f>
        <v>4310357</v>
      </c>
      <c r="R56" s="1419" t="s">
        <v>818</v>
      </c>
    </row>
    <row r="57" spans="1:18" s="1383" customFormat="1" ht="24.75" thickBot="1">
      <c r="A57" s="1450"/>
      <c r="B57" s="949" t="s">
        <v>767</v>
      </c>
      <c r="C57" s="238">
        <f ca="1">C29</f>
        <v>1480380</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16033</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4310357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14804</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1229</v>
      </c>
      <c r="D65" s="963" t="s">
        <v>743</v>
      </c>
      <c r="E65" s="949" t="s">
        <v>744</v>
      </c>
      <c r="F65" s="330">
        <f t="shared" ca="1" si="0"/>
        <v>1E-3</v>
      </c>
      <c r="I65" s="1461" t="s">
        <v>867</v>
      </c>
      <c r="J65" s="1462">
        <v>40</v>
      </c>
      <c r="K65" s="1462">
        <v>30</v>
      </c>
      <c r="L65" s="1462">
        <v>50</v>
      </c>
      <c r="M65" s="1464">
        <v>0.02</v>
      </c>
      <c r="O65" s="1417" t="s">
        <v>403</v>
      </c>
      <c r="P65" s="1418" t="s">
        <v>868</v>
      </c>
      <c r="Q65" s="1419">
        <f ca="1">C40+J29</f>
        <v>4310357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-16033</v>
      </c>
      <c r="D67" s="962" t="s">
        <v>753</v>
      </c>
      <c r="E67" s="967"/>
      <c r="F67" s="968"/>
      <c r="O67" s="1427" t="s">
        <v>405</v>
      </c>
      <c r="P67" s="1418" t="s">
        <v>850</v>
      </c>
      <c r="Q67" s="1465">
        <f ca="1">L51</f>
        <v>2109727</v>
      </c>
      <c r="R67" s="1419" t="s">
        <v>870</v>
      </c>
    </row>
    <row r="68" spans="1:18" s="1383" customFormat="1" ht="16.5" thickBot="1">
      <c r="A68" s="946" t="s">
        <v>395</v>
      </c>
      <c r="B68" s="947" t="s">
        <v>774</v>
      </c>
      <c r="C68" s="301">
        <f ca="1">ROUND(C67*(1-((1+F70)/(1+F68))^F69)/(F68-F70),0)</f>
        <v>-248079</v>
      </c>
      <c r="D68" s="964" t="s">
        <v>758</v>
      </c>
      <c r="E68" s="949" t="s">
        <v>759</v>
      </c>
      <c r="F68" s="312">
        <f ca="1">F40</f>
        <v>5.5E-2</v>
      </c>
      <c r="O68" s="1427" t="s">
        <v>406</v>
      </c>
      <c r="P68" s="1466" t="s">
        <v>871</v>
      </c>
      <c r="Q68" s="1419">
        <f ca="1">ROUND(Q69-Q70*Q71,0)</f>
        <v>115564</v>
      </c>
      <c r="R68" s="1419" t="s">
        <v>414</v>
      </c>
    </row>
    <row r="69" spans="1:18" s="1383" customFormat="1" ht="13.5" thickBot="1">
      <c r="A69" s="950"/>
      <c r="B69" s="951"/>
      <c r="C69" s="306"/>
      <c r="D69" s="969" t="s">
        <v>762</v>
      </c>
      <c r="E69" s="949" t="s">
        <v>763</v>
      </c>
      <c r="F69" s="333">
        <f ca="1">F41</f>
        <v>35.56</v>
      </c>
      <c r="O69" s="1427" t="s">
        <v>411</v>
      </c>
      <c r="P69" s="1466" t="s">
        <v>872</v>
      </c>
      <c r="Q69" s="1419">
        <f ca="1">C39</f>
        <v>201574</v>
      </c>
      <c r="R69" s="1419" t="s">
        <v>818</v>
      </c>
    </row>
    <row r="70" spans="1:18" s="1383" customFormat="1" ht="13.5" thickBot="1">
      <c r="A70" s="953"/>
      <c r="B70" s="954"/>
      <c r="C70" s="310"/>
      <c r="D70" s="965"/>
      <c r="E70" s="949" t="s">
        <v>766</v>
      </c>
      <c r="F70" s="1053"/>
      <c r="O70" s="1427" t="s">
        <v>412</v>
      </c>
      <c r="P70" s="1466" t="s">
        <v>873</v>
      </c>
      <c r="Q70" s="1419">
        <f ca="1">C13</f>
        <v>1228715</v>
      </c>
      <c r="R70" s="1419" t="s">
        <v>818</v>
      </c>
    </row>
    <row r="71" spans="1:18" s="1383" customFormat="1" ht="13.5" thickBot="1">
      <c r="A71" s="970" t="s">
        <v>396</v>
      </c>
      <c r="B71" s="971" t="s">
        <v>776</v>
      </c>
      <c r="C71" s="336">
        <f ca="1">ROUND(C68/F71,0)</f>
        <v>-1081</v>
      </c>
      <c r="D71" s="972" t="s">
        <v>777</v>
      </c>
      <c r="E71" s="973" t="s">
        <v>778</v>
      </c>
      <c r="F71" s="339">
        <f ca="1">F43</f>
        <v>229.53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86010</v>
      </c>
      <c r="D75" s="1383"/>
      <c r="E75" s="1383"/>
      <c r="F75" s="1383"/>
      <c r="K75" s="1401"/>
      <c r="L75" s="1383"/>
      <c r="O75" s="1417" t="s">
        <v>409</v>
      </c>
      <c r="P75" s="1418" t="s">
        <v>838</v>
      </c>
      <c r="Q75" s="1419">
        <f ca="1">Q65+Q66</f>
        <v>4310357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719" t="s">
        <v>2319</v>
      </c>
      <c r="K2" s="3720"/>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21" t="s">
        <v>2329</v>
      </c>
      <c r="K3" s="3722"/>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21" t="s">
        <v>2331</v>
      </c>
      <c r="K4" s="3722"/>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27" t="s">
        <v>2335</v>
      </c>
      <c r="B6" s="3728"/>
      <c r="C6" s="3729"/>
      <c r="D6" s="2869"/>
      <c r="E6" s="2870"/>
      <c r="F6" s="2871"/>
      <c r="G6" s="2872"/>
      <c r="H6" s="2847"/>
      <c r="I6" s="2848"/>
      <c r="J6" s="3713">
        <v>1</v>
      </c>
      <c r="K6" s="371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13"/>
      <c r="K7" s="3715"/>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30" t="s">
        <v>2349</v>
      </c>
      <c r="C8" s="3731"/>
      <c r="D8" s="2888" t="s">
        <v>2350</v>
      </c>
      <c r="E8" s="2889" t="s">
        <v>2351</v>
      </c>
      <c r="F8" s="2890" t="s">
        <v>2352</v>
      </c>
      <c r="G8" s="2891"/>
      <c r="H8" s="2847"/>
      <c r="I8" s="2848"/>
      <c r="J8" s="3713"/>
      <c r="K8" s="3715"/>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30" t="s">
        <v>2355</v>
      </c>
      <c r="C9" s="3731"/>
      <c r="D9" s="2888">
        <f>ROUND(D6*E9,0)</f>
        <v>0</v>
      </c>
      <c r="E9" s="2892"/>
      <c r="F9" s="2893" t="s">
        <v>2356</v>
      </c>
      <c r="G9" s="2872"/>
      <c r="H9" s="2847"/>
      <c r="I9" s="2848"/>
      <c r="J9" s="3713"/>
      <c r="K9" s="3715"/>
      <c r="L9" s="2882" t="s">
        <v>2357</v>
      </c>
      <c r="M9" s="2883"/>
      <c r="N9" s="2859"/>
      <c r="O9" s="2884"/>
      <c r="P9" s="2884"/>
      <c r="Q9" s="2885">
        <v>365</v>
      </c>
      <c r="R9" s="2886">
        <f t="shared" si="0"/>
        <v>0</v>
      </c>
      <c r="S9" s="2840"/>
      <c r="T9" s="2840"/>
      <c r="U9" s="2840"/>
      <c r="V9" s="2848"/>
    </row>
    <row r="10" spans="1:22" s="2852" customFormat="1" ht="13.15" customHeight="1">
      <c r="A10" s="2887">
        <v>2</v>
      </c>
      <c r="B10" s="3730" t="s">
        <v>2358</v>
      </c>
      <c r="C10" s="3731"/>
      <c r="D10" s="2888">
        <f>ROUND(D6*E10,0)</f>
        <v>0</v>
      </c>
      <c r="E10" s="2892"/>
      <c r="F10" s="2893" t="s">
        <v>2359</v>
      </c>
      <c r="G10" s="2872"/>
      <c r="H10" s="2847"/>
      <c r="I10" s="2848"/>
      <c r="J10" s="3713"/>
      <c r="K10" s="3715"/>
      <c r="L10" s="2882" t="s">
        <v>2360</v>
      </c>
      <c r="M10" s="2883"/>
      <c r="N10" s="2859"/>
      <c r="O10" s="2884"/>
      <c r="P10" s="2884"/>
      <c r="Q10" s="2885">
        <v>365</v>
      </c>
      <c r="R10" s="2886">
        <f t="shared" si="0"/>
        <v>0</v>
      </c>
      <c r="S10" s="2840"/>
      <c r="T10" s="2840"/>
      <c r="U10" s="2840"/>
      <c r="V10" s="2848"/>
    </row>
    <row r="11" spans="1:22" s="2852" customFormat="1" ht="13.15" customHeight="1">
      <c r="A11" s="2887">
        <v>3</v>
      </c>
      <c r="B11" s="3730" t="s">
        <v>2361</v>
      </c>
      <c r="C11" s="3731"/>
      <c r="D11" s="2888">
        <f>D12+D14+D15+D16</f>
        <v>0</v>
      </c>
      <c r="E11" s="2894" t="e">
        <f>D11/D6</f>
        <v>#DIV/0!</v>
      </c>
      <c r="F11" s="2890"/>
      <c r="G11" s="2891"/>
      <c r="H11" s="2847"/>
      <c r="I11" s="2848"/>
      <c r="J11" s="3713"/>
      <c r="K11" s="3715"/>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23" t="s">
        <v>2364</v>
      </c>
      <c r="C12" s="3724"/>
      <c r="D12" s="2896">
        <f>ROUND(D13*1.2%*(1-30%),0)</f>
        <v>0</v>
      </c>
      <c r="E12" s="2897">
        <v>1.2E-2</v>
      </c>
      <c r="F12" s="2890" t="s">
        <v>2365</v>
      </c>
      <c r="G12" s="2891"/>
      <c r="H12" s="2847"/>
      <c r="I12" s="2848"/>
      <c r="J12" s="3713"/>
      <c r="K12" s="3715"/>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13"/>
      <c r="K13" s="3715"/>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23" t="s">
        <v>2370</v>
      </c>
      <c r="C14" s="3724"/>
      <c r="D14" s="2896">
        <f>ROUND(E14*B5/10000,0)</f>
        <v>0</v>
      </c>
      <c r="E14" s="2885"/>
      <c r="F14" s="2890" t="s">
        <v>2371</v>
      </c>
      <c r="G14" s="2891"/>
      <c r="H14" s="2847"/>
      <c r="I14" s="2848"/>
      <c r="J14" s="3713"/>
      <c r="K14" s="371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23" t="s">
        <v>2374</v>
      </c>
      <c r="C15" s="3724"/>
      <c r="D15" s="2896">
        <f>ROUND(D6*E15,0)</f>
        <v>0</v>
      </c>
      <c r="E15" s="2897">
        <v>5.5E-2</v>
      </c>
      <c r="F15" s="2890" t="s">
        <v>2375</v>
      </c>
      <c r="G15" s="2872"/>
      <c r="H15" s="2847"/>
      <c r="I15" s="2848"/>
      <c r="J15" s="3713">
        <v>2</v>
      </c>
      <c r="K15" s="371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23" t="s">
        <v>2383</v>
      </c>
      <c r="C16" s="3724"/>
      <c r="D16" s="2907">
        <f>D6*E16</f>
        <v>0</v>
      </c>
      <c r="E16" s="2908"/>
      <c r="F16" s="2893" t="s">
        <v>2384</v>
      </c>
      <c r="G16" s="2872"/>
      <c r="H16" s="2847"/>
      <c r="I16" s="2848"/>
      <c r="J16" s="3713"/>
      <c r="K16" s="3715"/>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25" t="s">
        <v>2386</v>
      </c>
      <c r="C17" s="3726"/>
      <c r="D17" s="2910">
        <f>ROUND(D6*E17,0)</f>
        <v>0</v>
      </c>
      <c r="E17" s="2911"/>
      <c r="F17" s="2912" t="s">
        <v>2387</v>
      </c>
      <c r="G17" s="2872"/>
      <c r="H17" s="2847"/>
      <c r="I17" s="2848"/>
      <c r="J17" s="3713"/>
      <c r="K17" s="3715"/>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13"/>
      <c r="K18" s="3715"/>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13"/>
      <c r="K19" s="371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3">
        <v>3</v>
      </c>
      <c r="K20" s="371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13"/>
      <c r="K21" s="3715"/>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13"/>
      <c r="K22" s="3715"/>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13"/>
      <c r="K23" s="3715"/>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13"/>
      <c r="K24" s="371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9" t="s">
        <v>2319</v>
      </c>
      <c r="K32" s="3720"/>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21" t="s">
        <v>2329</v>
      </c>
      <c r="K33" s="3722"/>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21" t="s">
        <v>2331</v>
      </c>
      <c r="K34" s="372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13">
        <v>1</v>
      </c>
      <c r="K36" s="3714"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13"/>
      <c r="K37" s="3715"/>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3"/>
      <c r="K38" s="3715"/>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13"/>
      <c r="K39" s="3715"/>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13"/>
      <c r="K40" s="3716"/>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431.03570000000002</v>
      </c>
      <c r="C2" s="1871" t="s">
        <v>1651</v>
      </c>
      <c r="D2" s="1872" t="s">
        <v>1652</v>
      </c>
      <c r="E2" s="2606">
        <f>SUM(E6:E13)</f>
        <v>229.53</v>
      </c>
      <c r="F2" s="2706"/>
      <c r="G2" s="1488"/>
      <c r="H2" s="1488"/>
      <c r="I2" s="1488"/>
      <c r="J2" s="1488"/>
      <c r="K2" s="1488"/>
      <c r="L2" s="1488"/>
      <c r="M2" s="1488"/>
      <c r="N2" s="1488"/>
      <c r="O2" s="1488"/>
      <c r="P2" s="1488"/>
      <c r="Q2" s="1488"/>
      <c r="R2" s="1488"/>
      <c r="S2" s="1488"/>
    </row>
    <row r="3" spans="1:22" ht="15.75">
      <c r="A3" s="1869" t="s">
        <v>686</v>
      </c>
      <c r="B3" s="2600">
        <f ca="1">ROUND(B2*10000/E2,0)</f>
        <v>18779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2" t="s">
        <v>1654</v>
      </c>
      <c r="C5" s="373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431.03570000000002</v>
      </c>
      <c r="C6" s="1871" t="s">
        <v>1651</v>
      </c>
      <c r="D6" s="2708"/>
      <c r="E6" s="2605">
        <f>IF(OR(A6=0,F6="否"),0,'数据-取费表'!K6+'数据-取费表'!S6)</f>
        <v>229.53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229.53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0" t="s">
        <v>1667</v>
      </c>
      <c r="D4" s="3681"/>
      <c r="E4" s="3682" t="s">
        <v>1668</v>
      </c>
      <c r="F4" s="3683"/>
      <c r="G4" s="3680" t="s">
        <v>1669</v>
      </c>
      <c r="H4" s="3681"/>
      <c r="I4" s="3680" t="s">
        <v>1670</v>
      </c>
      <c r="J4" s="3681"/>
      <c r="K4" s="1888" t="s">
        <v>1671</v>
      </c>
      <c r="L4" s="2714"/>
      <c r="M4" s="2715"/>
      <c r="N4" s="2715"/>
      <c r="O4" s="2715"/>
      <c r="P4" s="3738" t="s">
        <v>1672</v>
      </c>
      <c r="Q4" s="3739"/>
      <c r="R4" s="3742" t="s">
        <v>1668</v>
      </c>
      <c r="S4" s="3743"/>
      <c r="T4" s="3742" t="s">
        <v>1669</v>
      </c>
      <c r="U4" s="3743"/>
      <c r="V4" s="3697" t="s">
        <v>1670</v>
      </c>
      <c r="W4" s="3697"/>
      <c r="X4" s="1354"/>
      <c r="Y4" s="3742" t="s">
        <v>1672</v>
      </c>
      <c r="Z4" s="3743"/>
      <c r="AA4" s="3737" t="s">
        <v>1668</v>
      </c>
      <c r="AB4" s="3737" t="s">
        <v>1669</v>
      </c>
      <c r="AC4" s="3737" t="s">
        <v>1670</v>
      </c>
    </row>
    <row r="5" spans="1:29" ht="15">
      <c r="A5" s="358"/>
      <c r="B5" s="359"/>
      <c r="C5" s="3700" t="s">
        <v>1673</v>
      </c>
      <c r="D5" s="3701"/>
      <c r="E5" s="3711" t="s">
        <v>1674</v>
      </c>
      <c r="F5" s="3712"/>
      <c r="G5" s="3700" t="s">
        <v>1675</v>
      </c>
      <c r="H5" s="3701"/>
      <c r="I5" s="3700" t="s">
        <v>1676</v>
      </c>
      <c r="J5" s="3701"/>
      <c r="K5" s="1889"/>
      <c r="L5" s="2714"/>
      <c r="M5" s="2715"/>
      <c r="N5" s="2715"/>
      <c r="O5" s="2715"/>
      <c r="P5" s="3740"/>
      <c r="Q5" s="3687"/>
      <c r="R5" s="3692"/>
      <c r="S5" s="3693"/>
      <c r="T5" s="3692"/>
      <c r="U5" s="3693"/>
      <c r="V5" s="3697"/>
      <c r="W5" s="3697"/>
      <c r="X5" s="1354"/>
      <c r="Y5" s="3692"/>
      <c r="Z5" s="3693"/>
      <c r="AA5" s="3709"/>
      <c r="AB5" s="3709"/>
      <c r="AC5" s="3709"/>
    </row>
    <row r="6" spans="1:29" ht="15.75" thickBot="1">
      <c r="A6" s="360"/>
      <c r="B6" s="361"/>
      <c r="C6" s="3698" t="s">
        <v>1677</v>
      </c>
      <c r="D6" s="3699"/>
      <c r="E6" s="3706" t="s">
        <v>1677</v>
      </c>
      <c r="F6" s="3707"/>
      <c r="G6" s="3698" t="s">
        <v>1677</v>
      </c>
      <c r="H6" s="3699"/>
      <c r="I6" s="3698" t="s">
        <v>1677</v>
      </c>
      <c r="J6" s="3699"/>
      <c r="K6" s="1889" t="s">
        <v>1678</v>
      </c>
      <c r="L6" s="2714"/>
      <c r="M6" s="2715"/>
      <c r="N6" s="2715"/>
      <c r="O6" s="2715"/>
      <c r="P6" s="3741"/>
      <c r="Q6" s="3689"/>
      <c r="R6" s="3692"/>
      <c r="S6" s="3693"/>
      <c r="T6" s="3694"/>
      <c r="U6" s="3695"/>
      <c r="V6" s="3697"/>
      <c r="W6" s="3697"/>
      <c r="X6" s="1354"/>
      <c r="Y6" s="3694"/>
      <c r="Z6" s="3695"/>
      <c r="AA6" s="3710"/>
      <c r="AB6" s="3710"/>
      <c r="AC6" s="3710"/>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4" t="s">
        <v>1680</v>
      </c>
      <c r="Q7" s="3705"/>
      <c r="R7" s="700" t="s">
        <v>20</v>
      </c>
      <c r="S7" s="701">
        <f t="shared" ref="S7:S15" si="0">F7</f>
        <v>0</v>
      </c>
      <c r="T7" s="700" t="s">
        <v>20</v>
      </c>
      <c r="U7" s="701">
        <f t="shared" ref="U7:U15" si="1">H7</f>
        <v>0</v>
      </c>
      <c r="V7" s="700" t="s">
        <v>20</v>
      </c>
      <c r="W7" s="701">
        <f t="shared" ref="W7:W15" si="2">J7</f>
        <v>0</v>
      </c>
      <c r="X7" s="702"/>
      <c r="Y7" s="3704"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4" t="s">
        <v>1683</v>
      </c>
      <c r="Q8" s="3703"/>
      <c r="R8" s="700" t="s">
        <v>20</v>
      </c>
      <c r="S8" s="701">
        <f t="shared" si="0"/>
        <v>100</v>
      </c>
      <c r="T8" s="700" t="s">
        <v>20</v>
      </c>
      <c r="U8" s="701">
        <f t="shared" si="1"/>
        <v>100</v>
      </c>
      <c r="V8" s="700" t="s">
        <v>20</v>
      </c>
      <c r="W8" s="701">
        <f t="shared" si="2"/>
        <v>100</v>
      </c>
      <c r="X8" s="702"/>
      <c r="Y8" s="3704"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2"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62"/>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2"/>
      <c r="Q11" s="1342" t="str">
        <f t="shared" si="6"/>
        <v>容积率</v>
      </c>
      <c r="R11" s="700" t="s">
        <v>18</v>
      </c>
      <c r="S11" s="701" t="e">
        <f t="shared" si="0"/>
        <v>#N/A</v>
      </c>
      <c r="T11" s="700" t="s">
        <v>18</v>
      </c>
      <c r="U11" s="701" t="e">
        <f t="shared" si="1"/>
        <v>#N/A</v>
      </c>
      <c r="V11" s="700" t="s">
        <v>18</v>
      </c>
      <c r="W11" s="701" t="e">
        <f t="shared" si="2"/>
        <v>#N/A</v>
      </c>
      <c r="X11" s="702"/>
      <c r="Y11" s="356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2"/>
      <c r="Q12" s="1342">
        <f t="shared" si="6"/>
        <v>111</v>
      </c>
      <c r="R12" s="700" t="s">
        <v>18</v>
      </c>
      <c r="S12" s="701">
        <f t="shared" si="0"/>
        <v>100</v>
      </c>
      <c r="T12" s="700" t="s">
        <v>18</v>
      </c>
      <c r="U12" s="701">
        <f t="shared" si="1"/>
        <v>100</v>
      </c>
      <c r="V12" s="700" t="s">
        <v>18</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2"/>
      <c r="Q13" s="1342">
        <f t="shared" si="6"/>
        <v>111</v>
      </c>
      <c r="R13" s="700" t="s">
        <v>18</v>
      </c>
      <c r="S13" s="701">
        <f t="shared" si="0"/>
        <v>100</v>
      </c>
      <c r="T13" s="700" t="s">
        <v>18</v>
      </c>
      <c r="U13" s="701">
        <f t="shared" si="1"/>
        <v>100</v>
      </c>
      <c r="V13" s="700" t="s">
        <v>18</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2"/>
      <c r="Q14" s="1342">
        <f t="shared" si="6"/>
        <v>111</v>
      </c>
      <c r="R14" s="700" t="s">
        <v>18</v>
      </c>
      <c r="S14" s="701">
        <f t="shared" si="0"/>
        <v>100</v>
      </c>
      <c r="T14" s="700" t="s">
        <v>18</v>
      </c>
      <c r="U14" s="701">
        <f t="shared" si="1"/>
        <v>100</v>
      </c>
      <c r="V14" s="700" t="s">
        <v>18</v>
      </c>
      <c r="W14" s="701">
        <f t="shared" si="2"/>
        <v>100</v>
      </c>
      <c r="X14" s="702"/>
      <c r="Y14" s="356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8" t="s">
        <v>1691</v>
      </c>
      <c r="Q15" s="1351" t="str">
        <f t="shared" si="6"/>
        <v>居住社区成熟度</v>
      </c>
      <c r="R15" s="704" t="s">
        <v>18</v>
      </c>
      <c r="S15" s="705">
        <f t="shared" si="0"/>
        <v>100</v>
      </c>
      <c r="T15" s="704" t="s">
        <v>18</v>
      </c>
      <c r="U15" s="705">
        <f t="shared" si="1"/>
        <v>100</v>
      </c>
      <c r="V15" s="704" t="s">
        <v>18</v>
      </c>
      <c r="W15" s="705">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9"/>
      <c r="Q16" s="1351"/>
      <c r="R16" s="704"/>
      <c r="S16" s="705"/>
      <c r="T16" s="704"/>
      <c r="U16" s="705"/>
      <c r="V16" s="704"/>
      <c r="W16" s="705"/>
      <c r="X16" s="1354"/>
      <c r="Y16" s="367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9"/>
      <c r="Q17" s="1351" t="str">
        <f>B17</f>
        <v>交通便捷度</v>
      </c>
      <c r="R17" s="704" t="s">
        <v>18</v>
      </c>
      <c r="S17" s="705">
        <f>F17</f>
        <v>100</v>
      </c>
      <c r="T17" s="704" t="s">
        <v>18</v>
      </c>
      <c r="U17" s="705">
        <f>H17</f>
        <v>100</v>
      </c>
      <c r="V17" s="704" t="s">
        <v>18</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9"/>
      <c r="Q18" s="1351"/>
      <c r="R18" s="704"/>
      <c r="S18" s="705"/>
      <c r="T18" s="704"/>
      <c r="U18" s="705"/>
      <c r="V18" s="704"/>
      <c r="W18" s="705"/>
      <c r="X18" s="1354"/>
      <c r="Y18" s="367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9"/>
      <c r="Q19" s="1351" t="str">
        <f>B19</f>
        <v>公共配套设施</v>
      </c>
      <c r="R19" s="704" t="s">
        <v>18</v>
      </c>
      <c r="S19" s="705">
        <f>F19</f>
        <v>100</v>
      </c>
      <c r="T19" s="704" t="s">
        <v>18</v>
      </c>
      <c r="U19" s="705">
        <f>H19</f>
        <v>100</v>
      </c>
      <c r="V19" s="704" t="s">
        <v>18</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9"/>
      <c r="Q20" s="1351"/>
      <c r="R20" s="704"/>
      <c r="S20" s="705"/>
      <c r="T20" s="704"/>
      <c r="U20" s="705"/>
      <c r="V20" s="704"/>
      <c r="W20" s="705"/>
      <c r="X20" s="1354"/>
      <c r="Y20" s="367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9"/>
      <c r="Q22" s="1351"/>
      <c r="R22" s="704"/>
      <c r="S22" s="705"/>
      <c r="T22" s="704"/>
      <c r="U22" s="705"/>
      <c r="V22" s="704"/>
      <c r="W22" s="705"/>
      <c r="X22" s="1354"/>
      <c r="Y22" s="367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9"/>
      <c r="Q23" s="1351" t="str">
        <f>B23</f>
        <v>自然及人文环境</v>
      </c>
      <c r="R23" s="704" t="s">
        <v>18</v>
      </c>
      <c r="S23" s="705">
        <f>F23</f>
        <v>100</v>
      </c>
      <c r="T23" s="704" t="s">
        <v>18</v>
      </c>
      <c r="U23" s="705">
        <f>H23</f>
        <v>100</v>
      </c>
      <c r="V23" s="704" t="s">
        <v>18</v>
      </c>
      <c r="W23" s="705">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9"/>
      <c r="Q26" s="1351" t="str">
        <f t="shared" si="11"/>
        <v>朝向</v>
      </c>
      <c r="R26" s="704" t="s">
        <v>18</v>
      </c>
      <c r="S26" s="705">
        <f t="shared" si="12"/>
        <v>100</v>
      </c>
      <c r="T26" s="704" t="s">
        <v>18</v>
      </c>
      <c r="U26" s="705">
        <f t="shared" si="13"/>
        <v>100</v>
      </c>
      <c r="V26" s="704" t="s">
        <v>18</v>
      </c>
      <c r="W26" s="705">
        <f t="shared" si="14"/>
        <v>100</v>
      </c>
      <c r="X26" s="1354"/>
      <c r="Y26" s="367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9"/>
      <c r="Q27" s="1342">
        <f t="shared" si="11"/>
        <v>111</v>
      </c>
      <c r="R27" s="700" t="s">
        <v>18</v>
      </c>
      <c r="S27" s="701">
        <f t="shared" si="12"/>
        <v>100</v>
      </c>
      <c r="T27" s="700" t="s">
        <v>18</v>
      </c>
      <c r="U27" s="701">
        <f t="shared" si="13"/>
        <v>100</v>
      </c>
      <c r="V27" s="700" t="s">
        <v>18</v>
      </c>
      <c r="W27" s="701">
        <f t="shared" si="14"/>
        <v>100</v>
      </c>
      <c r="X27" s="702"/>
      <c r="Y27" s="367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9"/>
      <c r="Q28" s="1351">
        <f t="shared" si="11"/>
        <v>111</v>
      </c>
      <c r="R28" s="704" t="s">
        <v>18</v>
      </c>
      <c r="S28" s="705">
        <f t="shared" si="12"/>
        <v>100</v>
      </c>
      <c r="T28" s="704" t="s">
        <v>18</v>
      </c>
      <c r="U28" s="705">
        <f t="shared" si="13"/>
        <v>100</v>
      </c>
      <c r="V28" s="704" t="s">
        <v>18</v>
      </c>
      <c r="W28" s="705">
        <f t="shared" si="14"/>
        <v>100</v>
      </c>
      <c r="X28" s="1354"/>
      <c r="Y28" s="367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9"/>
      <c r="Q29" s="1351">
        <f t="shared" si="11"/>
        <v>111</v>
      </c>
      <c r="R29" s="704" t="s">
        <v>18</v>
      </c>
      <c r="S29" s="705">
        <f t="shared" si="12"/>
        <v>100</v>
      </c>
      <c r="T29" s="704" t="s">
        <v>18</v>
      </c>
      <c r="U29" s="705">
        <f t="shared" si="13"/>
        <v>100</v>
      </c>
      <c r="V29" s="704" t="s">
        <v>18</v>
      </c>
      <c r="W29" s="705">
        <f t="shared" si="14"/>
        <v>100</v>
      </c>
      <c r="X29" s="1354"/>
      <c r="Y29" s="367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9"/>
      <c r="Q30" s="1351">
        <f t="shared" si="11"/>
        <v>111</v>
      </c>
      <c r="R30" s="704" t="s">
        <v>18</v>
      </c>
      <c r="S30" s="705">
        <f t="shared" si="12"/>
        <v>100</v>
      </c>
      <c r="T30" s="704" t="s">
        <v>18</v>
      </c>
      <c r="U30" s="705">
        <f t="shared" si="13"/>
        <v>100</v>
      </c>
      <c r="V30" s="704" t="s">
        <v>18</v>
      </c>
      <c r="W30" s="705">
        <f t="shared" si="14"/>
        <v>100</v>
      </c>
      <c r="X30" s="1354"/>
      <c r="Y30" s="367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9"/>
      <c r="Q31" s="1351">
        <f t="shared" si="11"/>
        <v>111</v>
      </c>
      <c r="R31" s="704" t="s">
        <v>18</v>
      </c>
      <c r="S31" s="705">
        <f t="shared" si="12"/>
        <v>100</v>
      </c>
      <c r="T31" s="704" t="s">
        <v>18</v>
      </c>
      <c r="U31" s="705">
        <f t="shared" si="13"/>
        <v>100</v>
      </c>
      <c r="V31" s="704" t="s">
        <v>18</v>
      </c>
      <c r="W31" s="705">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2" t="s">
        <v>1696</v>
      </c>
      <c r="Q32" s="1351" t="str">
        <f t="shared" si="11"/>
        <v>建筑类型</v>
      </c>
      <c r="R32" s="704" t="s">
        <v>18</v>
      </c>
      <c r="S32" s="705">
        <f t="shared" si="12"/>
        <v>100</v>
      </c>
      <c r="T32" s="704" t="s">
        <v>18</v>
      </c>
      <c r="U32" s="705">
        <f t="shared" si="13"/>
        <v>100</v>
      </c>
      <c r="V32" s="704" t="s">
        <v>18</v>
      </c>
      <c r="W32" s="705">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3"/>
      <c r="Q33" s="706" t="str">
        <f t="shared" si="11"/>
        <v>项目建筑规模</v>
      </c>
      <c r="R33" s="707" t="s">
        <v>18</v>
      </c>
      <c r="S33" s="708" t="e">
        <f t="shared" si="12"/>
        <v>#N/A</v>
      </c>
      <c r="T33" s="707" t="s">
        <v>18</v>
      </c>
      <c r="U33" s="708" t="e">
        <f t="shared" si="13"/>
        <v>#N/A</v>
      </c>
      <c r="V33" s="707" t="s">
        <v>18</v>
      </c>
      <c r="W33" s="708" t="e">
        <f t="shared" si="14"/>
        <v>#N/A</v>
      </c>
      <c r="X33" s="709"/>
      <c r="Y33" s="367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3"/>
      <c r="Q34" s="1351" t="str">
        <f t="shared" si="11"/>
        <v>建筑结构</v>
      </c>
      <c r="R34" s="704" t="s">
        <v>18</v>
      </c>
      <c r="S34" s="705">
        <f t="shared" si="12"/>
        <v>100</v>
      </c>
      <c r="T34" s="704" t="s">
        <v>18</v>
      </c>
      <c r="U34" s="705">
        <f t="shared" si="13"/>
        <v>100</v>
      </c>
      <c r="V34" s="704" t="s">
        <v>18</v>
      </c>
      <c r="W34" s="705">
        <f t="shared" si="14"/>
        <v>100</v>
      </c>
      <c r="X34" s="1354"/>
      <c r="Y34" s="367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3"/>
      <c r="Q35" s="1351" t="str">
        <f t="shared" si="11"/>
        <v>建筑品质</v>
      </c>
      <c r="R35" s="704" t="s">
        <v>18</v>
      </c>
      <c r="S35" s="705">
        <f t="shared" si="12"/>
        <v>100</v>
      </c>
      <c r="T35" s="704" t="s">
        <v>18</v>
      </c>
      <c r="U35" s="705">
        <f t="shared" si="13"/>
        <v>100</v>
      </c>
      <c r="V35" s="704" t="s">
        <v>18</v>
      </c>
      <c r="W35" s="705">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3"/>
      <c r="Q36" s="1351" t="str">
        <f t="shared" si="11"/>
        <v>公共部分装修</v>
      </c>
      <c r="R36" s="704" t="s">
        <v>18</v>
      </c>
      <c r="S36" s="705">
        <f t="shared" si="12"/>
        <v>100</v>
      </c>
      <c r="T36" s="704" t="s">
        <v>18</v>
      </c>
      <c r="U36" s="705">
        <f t="shared" si="13"/>
        <v>100</v>
      </c>
      <c r="V36" s="704" t="s">
        <v>18</v>
      </c>
      <c r="W36" s="705">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2"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3" t="s">
        <v>1696</v>
      </c>
      <c r="Q38" s="1351" t="str">
        <f t="shared" si="11"/>
        <v>物业管理</v>
      </c>
      <c r="R38" s="704" t="s">
        <v>18</v>
      </c>
      <c r="S38" s="705">
        <f t="shared" si="12"/>
        <v>100</v>
      </c>
      <c r="T38" s="704" t="s">
        <v>18</v>
      </c>
      <c r="U38" s="705">
        <f t="shared" si="13"/>
        <v>100</v>
      </c>
      <c r="V38" s="704" t="s">
        <v>18</v>
      </c>
      <c r="W38" s="705">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3"/>
      <c r="Q39" s="1351" t="str">
        <f t="shared" si="11"/>
        <v>市政基础设施</v>
      </c>
      <c r="R39" s="704" t="s">
        <v>18</v>
      </c>
      <c r="S39" s="705">
        <f t="shared" si="12"/>
        <v>100</v>
      </c>
      <c r="T39" s="704" t="s">
        <v>18</v>
      </c>
      <c r="U39" s="705">
        <f t="shared" si="13"/>
        <v>100</v>
      </c>
      <c r="V39" s="704" t="s">
        <v>18</v>
      </c>
      <c r="W39" s="705">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3"/>
      <c r="Q40" s="1351" t="str">
        <f t="shared" si="11"/>
        <v>房型</v>
      </c>
      <c r="R40" s="704" t="s">
        <v>18</v>
      </c>
      <c r="S40" s="705">
        <f t="shared" si="12"/>
        <v>100</v>
      </c>
      <c r="T40" s="704" t="s">
        <v>18</v>
      </c>
      <c r="U40" s="705">
        <f t="shared" si="13"/>
        <v>100</v>
      </c>
      <c r="V40" s="704" t="s">
        <v>18</v>
      </c>
      <c r="W40" s="705">
        <f t="shared" si="14"/>
        <v>100</v>
      </c>
      <c r="X40" s="1354"/>
      <c r="Y40" s="367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3"/>
      <c r="Q42" s="1351" t="str">
        <f t="shared" si="11"/>
        <v>内部装修</v>
      </c>
      <c r="R42" s="704" t="s">
        <v>18</v>
      </c>
      <c r="S42" s="705">
        <f t="shared" si="12"/>
        <v>100</v>
      </c>
      <c r="T42" s="704" t="s">
        <v>18</v>
      </c>
      <c r="U42" s="705">
        <f t="shared" si="13"/>
        <v>100</v>
      </c>
      <c r="V42" s="704" t="s">
        <v>18</v>
      </c>
      <c r="W42" s="705">
        <f t="shared" si="14"/>
        <v>100</v>
      </c>
      <c r="X42" s="1354"/>
      <c r="Y42" s="367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3"/>
      <c r="Q43" s="1351" t="str">
        <f t="shared" si="11"/>
        <v>内部装修维护情况</v>
      </c>
      <c r="R43" s="704" t="s">
        <v>18</v>
      </c>
      <c r="S43" s="705">
        <f t="shared" si="12"/>
        <v>100</v>
      </c>
      <c r="T43" s="704" t="s">
        <v>18</v>
      </c>
      <c r="U43" s="705">
        <f t="shared" si="13"/>
        <v>100</v>
      </c>
      <c r="V43" s="704" t="s">
        <v>18</v>
      </c>
      <c r="W43" s="705">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3"/>
      <c r="Q44" s="1342">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3"/>
      <c r="Q45" s="1351">
        <f t="shared" si="11"/>
        <v>111</v>
      </c>
      <c r="R45" s="704" t="s">
        <v>18</v>
      </c>
      <c r="S45" s="705">
        <f t="shared" si="12"/>
        <v>100</v>
      </c>
      <c r="T45" s="704" t="s">
        <v>18</v>
      </c>
      <c r="U45" s="705">
        <f t="shared" si="13"/>
        <v>100</v>
      </c>
      <c r="V45" s="704" t="s">
        <v>18</v>
      </c>
      <c r="W45" s="705">
        <f t="shared" si="14"/>
        <v>100</v>
      </c>
      <c r="X45" s="1354"/>
      <c r="Y45" s="36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4"/>
      <c r="Q46" s="1351">
        <f t="shared" si="11"/>
        <v>111</v>
      </c>
      <c r="R46" s="704" t="s">
        <v>17</v>
      </c>
      <c r="S46" s="705">
        <f t="shared" si="12"/>
        <v>100</v>
      </c>
      <c r="T46" s="704" t="s">
        <v>17</v>
      </c>
      <c r="U46" s="705">
        <f t="shared" si="13"/>
        <v>100</v>
      </c>
      <c r="V46" s="704" t="s">
        <v>17</v>
      </c>
      <c r="W46" s="705">
        <f t="shared" si="14"/>
        <v>100</v>
      </c>
      <c r="X46" s="1354"/>
      <c r="Y46" s="367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3" t="str">
        <f>A47</f>
        <v>成交单价（元/平方米）</v>
      </c>
      <c r="Q47" s="3663"/>
      <c r="R47" s="3664">
        <f>E47</f>
        <v>0</v>
      </c>
      <c r="S47" s="3664"/>
      <c r="T47" s="3664">
        <f>G47</f>
        <v>0</v>
      </c>
      <c r="U47" s="3664"/>
      <c r="V47" s="3664">
        <f>I47</f>
        <v>0</v>
      </c>
      <c r="W47" s="366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229.53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38" t="s">
        <v>1775</v>
      </c>
      <c r="Q4" s="3739"/>
      <c r="R4" s="3742" t="s">
        <v>1771</v>
      </c>
      <c r="S4" s="3743"/>
      <c r="T4" s="3742" t="s">
        <v>1772</v>
      </c>
      <c r="U4" s="3743"/>
      <c r="V4" s="3697" t="s">
        <v>1773</v>
      </c>
      <c r="W4" s="3697"/>
      <c r="X4" s="1354"/>
      <c r="Y4" s="3742" t="s">
        <v>1775</v>
      </c>
      <c r="Z4" s="3743"/>
      <c r="AA4" s="3737" t="s">
        <v>1771</v>
      </c>
      <c r="AB4" s="3697" t="s">
        <v>1772</v>
      </c>
      <c r="AC4" s="3737" t="s">
        <v>1773</v>
      </c>
    </row>
    <row r="5" spans="1:29" ht="15">
      <c r="A5" s="358"/>
      <c r="B5" s="359"/>
      <c r="C5" s="3700" t="s">
        <v>1673</v>
      </c>
      <c r="D5" s="3701"/>
      <c r="E5" s="3711" t="s">
        <v>1674</v>
      </c>
      <c r="F5" s="3712"/>
      <c r="G5" s="3700" t="s">
        <v>1675</v>
      </c>
      <c r="H5" s="3701"/>
      <c r="I5" s="3700" t="s">
        <v>1676</v>
      </c>
      <c r="J5" s="3701"/>
      <c r="K5" s="559"/>
      <c r="L5" s="2714"/>
      <c r="M5" s="2715"/>
      <c r="N5" s="2715"/>
      <c r="O5" s="2715"/>
      <c r="P5" s="3740"/>
      <c r="Q5" s="3687"/>
      <c r="R5" s="3692"/>
      <c r="S5" s="3693"/>
      <c r="T5" s="3692"/>
      <c r="U5" s="3693"/>
      <c r="V5" s="3697"/>
      <c r="W5" s="3697"/>
      <c r="X5" s="1354"/>
      <c r="Y5" s="3692"/>
      <c r="Z5" s="3693"/>
      <c r="AA5" s="3709"/>
      <c r="AB5" s="3697"/>
      <c r="AC5" s="3709"/>
    </row>
    <row r="6" spans="1:29" ht="15.75" thickBot="1">
      <c r="A6" s="360"/>
      <c r="B6" s="361"/>
      <c r="C6" s="3698" t="s">
        <v>1677</v>
      </c>
      <c r="D6" s="3699"/>
      <c r="E6" s="3706" t="s">
        <v>1677</v>
      </c>
      <c r="F6" s="3707"/>
      <c r="G6" s="3698" t="s">
        <v>1677</v>
      </c>
      <c r="H6" s="3699"/>
      <c r="I6" s="3698" t="s">
        <v>1677</v>
      </c>
      <c r="J6" s="3699"/>
      <c r="K6" s="559" t="s">
        <v>1678</v>
      </c>
      <c r="L6" s="2714"/>
      <c r="M6" s="2715"/>
      <c r="N6" s="2715"/>
      <c r="O6" s="2715"/>
      <c r="P6" s="3741"/>
      <c r="Q6" s="3689"/>
      <c r="R6" s="3692"/>
      <c r="S6" s="3693"/>
      <c r="T6" s="3694"/>
      <c r="U6" s="3695"/>
      <c r="V6" s="3697"/>
      <c r="W6" s="3697"/>
      <c r="X6" s="1354"/>
      <c r="Y6" s="3694"/>
      <c r="Z6" s="3695"/>
      <c r="AA6" s="3710"/>
      <c r="AB6" s="3697"/>
      <c r="AC6" s="3710"/>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4" t="s">
        <v>1680</v>
      </c>
      <c r="Q7" s="3705"/>
      <c r="R7" s="700" t="s">
        <v>14</v>
      </c>
      <c r="S7" s="701">
        <f t="shared" ref="S7:S15" si="0">F7</f>
        <v>0</v>
      </c>
      <c r="T7" s="700" t="s">
        <v>14</v>
      </c>
      <c r="U7" s="701">
        <f t="shared" ref="U7:U15" si="1">H7</f>
        <v>0</v>
      </c>
      <c r="V7" s="700" t="s">
        <v>14</v>
      </c>
      <c r="W7" s="701">
        <f t="shared" ref="W7:W15" si="2">J7</f>
        <v>0</v>
      </c>
      <c r="X7" s="702"/>
      <c r="Y7" s="3704" t="s">
        <v>1680</v>
      </c>
      <c r="Z7" s="370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4" t="s">
        <v>1683</v>
      </c>
      <c r="Q8" s="3703"/>
      <c r="R8" s="700" t="s">
        <v>14</v>
      </c>
      <c r="S8" s="701">
        <f t="shared" si="0"/>
        <v>100</v>
      </c>
      <c r="T8" s="700" t="s">
        <v>14</v>
      </c>
      <c r="U8" s="701">
        <f t="shared" si="1"/>
        <v>100</v>
      </c>
      <c r="V8" s="700" t="s">
        <v>14</v>
      </c>
      <c r="W8" s="701">
        <f t="shared" si="2"/>
        <v>100</v>
      </c>
      <c r="X8" s="702"/>
      <c r="Y8" s="3704" t="s">
        <v>1683</v>
      </c>
      <c r="Z8" s="370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2"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62"/>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2"/>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2"/>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2"/>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2"/>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8" t="s">
        <v>1691</v>
      </c>
      <c r="Q15" s="1351" t="str">
        <f t="shared" si="6"/>
        <v>商业繁华度</v>
      </c>
      <c r="R15" s="704" t="s">
        <v>14</v>
      </c>
      <c r="S15" s="705">
        <f t="shared" si="0"/>
        <v>100</v>
      </c>
      <c r="T15" s="704" t="s">
        <v>14</v>
      </c>
      <c r="U15" s="705">
        <f t="shared" si="1"/>
        <v>100</v>
      </c>
      <c r="V15" s="704" t="s">
        <v>14</v>
      </c>
      <c r="W15" s="705">
        <f t="shared" si="2"/>
        <v>100</v>
      </c>
      <c r="X15" s="1354"/>
      <c r="Y15" s="367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9"/>
      <c r="Q22" s="1351"/>
      <c r="R22" s="704"/>
      <c r="S22" s="705"/>
      <c r="T22" s="704"/>
      <c r="U22" s="705"/>
      <c r="V22" s="704"/>
      <c r="W22" s="705"/>
      <c r="X22" s="1354"/>
      <c r="Y22" s="367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9"/>
      <c r="Q23" s="1351" t="str">
        <f>B23</f>
        <v>自然及人文环境</v>
      </c>
      <c r="R23" s="704" t="s">
        <v>14</v>
      </c>
      <c r="S23" s="705">
        <f>F23</f>
        <v>100</v>
      </c>
      <c r="T23" s="704" t="s">
        <v>14</v>
      </c>
      <c r="U23" s="705">
        <f>H23</f>
        <v>100</v>
      </c>
      <c r="V23" s="704" t="s">
        <v>14</v>
      </c>
      <c r="W23" s="705">
        <f>J23</f>
        <v>100</v>
      </c>
      <c r="X23" s="1354"/>
      <c r="Y23" s="36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9"/>
      <c r="Q25" s="1351" t="str">
        <f t="shared" ref="Q25:Q46" si="11">B25</f>
        <v>临街状况</v>
      </c>
      <c r="R25" s="704" t="s">
        <v>14</v>
      </c>
      <c r="S25" s="705">
        <f>F25</f>
        <v>100</v>
      </c>
      <c r="T25" s="704" t="s">
        <v>14</v>
      </c>
      <c r="U25" s="705">
        <f>H25</f>
        <v>100</v>
      </c>
      <c r="V25" s="704" t="s">
        <v>14</v>
      </c>
      <c r="W25" s="705">
        <f>J25</f>
        <v>100</v>
      </c>
      <c r="X25" s="1354"/>
      <c r="Y25" s="367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9"/>
      <c r="Q26" s="1351" t="str">
        <f t="shared" si="11"/>
        <v>平面位置/可视性</v>
      </c>
      <c r="R26" s="704" t="s">
        <v>14</v>
      </c>
      <c r="S26" s="705">
        <f>F26</f>
        <v>100</v>
      </c>
      <c r="T26" s="704" t="s">
        <v>14</v>
      </c>
      <c r="U26" s="705">
        <f>H26</f>
        <v>100</v>
      </c>
      <c r="V26" s="704" t="s">
        <v>14</v>
      </c>
      <c r="W26" s="705">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9"/>
      <c r="Q27" s="1342" t="str">
        <f t="shared" si="11"/>
        <v>人流量</v>
      </c>
      <c r="R27" s="700" t="s">
        <v>14</v>
      </c>
      <c r="S27" s="701">
        <f>F27</f>
        <v>100</v>
      </c>
      <c r="T27" s="700" t="s">
        <v>14</v>
      </c>
      <c r="U27" s="701">
        <f>H27</f>
        <v>100</v>
      </c>
      <c r="V27" s="700" t="s">
        <v>14</v>
      </c>
      <c r="W27" s="701">
        <f>J27</f>
        <v>100</v>
      </c>
      <c r="X27" s="702"/>
      <c r="Y27" s="367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9"/>
      <c r="Q29" s="1351">
        <f t="shared" si="11"/>
        <v>111</v>
      </c>
      <c r="R29" s="704" t="s">
        <v>14</v>
      </c>
      <c r="S29" s="705">
        <f t="shared" si="12"/>
        <v>100</v>
      </c>
      <c r="T29" s="704" t="s">
        <v>14</v>
      </c>
      <c r="U29" s="705">
        <f t="shared" si="13"/>
        <v>100</v>
      </c>
      <c r="V29" s="704" t="s">
        <v>14</v>
      </c>
      <c r="W29" s="705">
        <f t="shared" si="14"/>
        <v>100</v>
      </c>
      <c r="X29" s="1354"/>
      <c r="Y29" s="367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2" t="s">
        <v>1696</v>
      </c>
      <c r="Q32" s="1351" t="str">
        <f t="shared" si="11"/>
        <v>商业类型</v>
      </c>
      <c r="R32" s="704" t="s">
        <v>14</v>
      </c>
      <c r="S32" s="705">
        <f t="shared" si="12"/>
        <v>100</v>
      </c>
      <c r="T32" s="704" t="s">
        <v>14</v>
      </c>
      <c r="U32" s="705">
        <f t="shared" si="13"/>
        <v>100</v>
      </c>
      <c r="V32" s="704" t="s">
        <v>14</v>
      </c>
      <c r="W32" s="705">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3"/>
      <c r="Q33" s="706" t="str">
        <f t="shared" si="11"/>
        <v>项目建筑规模</v>
      </c>
      <c r="R33" s="707" t="s">
        <v>14</v>
      </c>
      <c r="S33" s="708" t="e">
        <f t="shared" si="12"/>
        <v>#N/A</v>
      </c>
      <c r="T33" s="707" t="s">
        <v>14</v>
      </c>
      <c r="U33" s="708" t="e">
        <f t="shared" si="13"/>
        <v>#N/A</v>
      </c>
      <c r="V33" s="707" t="s">
        <v>14</v>
      </c>
      <c r="W33" s="708" t="e">
        <f t="shared" si="14"/>
        <v>#N/A</v>
      </c>
      <c r="X33" s="709"/>
      <c r="Y33" s="3675"/>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3"/>
      <c r="Q34" s="1351" t="str">
        <f t="shared" si="11"/>
        <v>建筑结构</v>
      </c>
      <c r="R34" s="704" t="s">
        <v>14</v>
      </c>
      <c r="S34" s="705">
        <f t="shared" si="12"/>
        <v>100</v>
      </c>
      <c r="T34" s="704" t="s">
        <v>14</v>
      </c>
      <c r="U34" s="705">
        <f t="shared" si="13"/>
        <v>100</v>
      </c>
      <c r="V34" s="704" t="s">
        <v>14</v>
      </c>
      <c r="W34" s="705">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3"/>
      <c r="Q35" s="1351" t="str">
        <f t="shared" si="11"/>
        <v>公共部分装修</v>
      </c>
      <c r="R35" s="704" t="s">
        <v>14</v>
      </c>
      <c r="S35" s="705">
        <f t="shared" si="12"/>
        <v>100</v>
      </c>
      <c r="T35" s="704" t="s">
        <v>14</v>
      </c>
      <c r="U35" s="705">
        <f t="shared" si="13"/>
        <v>100</v>
      </c>
      <c r="V35" s="704" t="s">
        <v>14</v>
      </c>
      <c r="W35" s="705">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3"/>
      <c r="Q36" s="1351" t="str">
        <f t="shared" si="11"/>
        <v>成新度</v>
      </c>
      <c r="R36" s="704" t="s">
        <v>14</v>
      </c>
      <c r="S36" s="705" t="e">
        <f t="shared" si="12"/>
        <v>#N/A</v>
      </c>
      <c r="T36" s="704" t="s">
        <v>14</v>
      </c>
      <c r="U36" s="705" t="e">
        <f t="shared" si="13"/>
        <v>#N/A</v>
      </c>
      <c r="V36" s="704" t="s">
        <v>14</v>
      </c>
      <c r="W36" s="705" t="e">
        <f t="shared" si="14"/>
        <v>#N/A</v>
      </c>
      <c r="X36" s="1354"/>
      <c r="Y36" s="367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3"/>
      <c r="Q37" s="1342"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3" t="s">
        <v>1696</v>
      </c>
      <c r="Q38" s="1351" t="str">
        <f t="shared" si="11"/>
        <v>业态</v>
      </c>
      <c r="R38" s="704" t="s">
        <v>14</v>
      </c>
      <c r="S38" s="705">
        <f t="shared" si="12"/>
        <v>100</v>
      </c>
      <c r="T38" s="704" t="s">
        <v>14</v>
      </c>
      <c r="U38" s="705">
        <f t="shared" si="13"/>
        <v>100</v>
      </c>
      <c r="V38" s="704" t="s">
        <v>14</v>
      </c>
      <c r="W38" s="705">
        <f t="shared" si="14"/>
        <v>100</v>
      </c>
      <c r="X38" s="1354"/>
      <c r="Y38" s="367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3"/>
      <c r="Q39" s="1351" t="str">
        <f t="shared" si="11"/>
        <v>层高</v>
      </c>
      <c r="R39" s="704" t="s">
        <v>14</v>
      </c>
      <c r="S39" s="705">
        <f t="shared" si="12"/>
        <v>100</v>
      </c>
      <c r="T39" s="704" t="s">
        <v>14</v>
      </c>
      <c r="U39" s="705">
        <f t="shared" si="13"/>
        <v>100</v>
      </c>
      <c r="V39" s="704" t="s">
        <v>14</v>
      </c>
      <c r="W39" s="705">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3"/>
      <c r="Q40" s="1351" t="str">
        <f t="shared" si="11"/>
        <v>单套建筑面积</v>
      </c>
      <c r="R40" s="704" t="s">
        <v>14</v>
      </c>
      <c r="S40" s="705">
        <f t="shared" si="12"/>
        <v>100</v>
      </c>
      <c r="T40" s="704" t="s">
        <v>14</v>
      </c>
      <c r="U40" s="705">
        <f t="shared" si="13"/>
        <v>100</v>
      </c>
      <c r="V40" s="704" t="s">
        <v>14</v>
      </c>
      <c r="W40" s="705">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3"/>
      <c r="Q42" s="1351" t="str">
        <f t="shared" si="11"/>
        <v>内部装修</v>
      </c>
      <c r="R42" s="704" t="s">
        <v>14</v>
      </c>
      <c r="S42" s="705">
        <f t="shared" si="12"/>
        <v>100</v>
      </c>
      <c r="T42" s="704" t="s">
        <v>14</v>
      </c>
      <c r="U42" s="705">
        <f t="shared" si="13"/>
        <v>100</v>
      </c>
      <c r="V42" s="704" t="s">
        <v>14</v>
      </c>
      <c r="W42" s="705">
        <f t="shared" si="14"/>
        <v>100</v>
      </c>
      <c r="X42" s="1354"/>
      <c r="Y42" s="367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3"/>
      <c r="Q43" s="1351" t="str">
        <f t="shared" si="11"/>
        <v>内部装修维护情况</v>
      </c>
      <c r="R43" s="704" t="s">
        <v>14</v>
      </c>
      <c r="S43" s="705">
        <f t="shared" si="12"/>
        <v>100</v>
      </c>
      <c r="T43" s="704" t="s">
        <v>14</v>
      </c>
      <c r="U43" s="705">
        <f t="shared" si="13"/>
        <v>100</v>
      </c>
      <c r="V43" s="704" t="s">
        <v>14</v>
      </c>
      <c r="W43" s="705">
        <f t="shared" si="14"/>
        <v>100</v>
      </c>
      <c r="X43" s="1354"/>
      <c r="Y43" s="367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2">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1">
        <f t="shared" si="11"/>
        <v>111</v>
      </c>
      <c r="R45" s="704" t="s">
        <v>14</v>
      </c>
      <c r="S45" s="705">
        <f t="shared" si="12"/>
        <v>100</v>
      </c>
      <c r="T45" s="704" t="s">
        <v>14</v>
      </c>
      <c r="U45" s="705">
        <f t="shared" si="13"/>
        <v>100</v>
      </c>
      <c r="V45" s="704" t="s">
        <v>14</v>
      </c>
      <c r="W45" s="705">
        <f t="shared" si="14"/>
        <v>100</v>
      </c>
      <c r="X45" s="1354"/>
      <c r="Y45" s="367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63" t="str">
        <f>A47</f>
        <v>成交单价（元/平方米）</v>
      </c>
      <c r="Q47" s="3663"/>
      <c r="R47" s="3697">
        <f>E47</f>
        <v>0</v>
      </c>
      <c r="S47" s="3697"/>
      <c r="T47" s="3697">
        <f>G47</f>
        <v>0</v>
      </c>
      <c r="U47" s="3697"/>
      <c r="V47" s="3697">
        <f>I47</f>
        <v>0</v>
      </c>
      <c r="W47" s="3697"/>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229.53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0" t="s">
        <v>1770</v>
      </c>
      <c r="D4" s="3681"/>
      <c r="E4" s="3682" t="s">
        <v>1771</v>
      </c>
      <c r="F4" s="3683"/>
      <c r="G4" s="3680" t="s">
        <v>1772</v>
      </c>
      <c r="H4" s="3681"/>
      <c r="I4" s="3680" t="s">
        <v>1773</v>
      </c>
      <c r="J4" s="3681"/>
      <c r="K4" s="559" t="s">
        <v>1774</v>
      </c>
      <c r="L4" s="912"/>
      <c r="M4" s="913"/>
      <c r="N4" s="913"/>
      <c r="O4" s="913"/>
      <c r="P4" s="3738" t="s">
        <v>1775</v>
      </c>
      <c r="Q4" s="3739"/>
      <c r="R4" s="3742" t="s">
        <v>1771</v>
      </c>
      <c r="S4" s="3743"/>
      <c r="T4" s="3742" t="s">
        <v>1772</v>
      </c>
      <c r="U4" s="3743"/>
      <c r="V4" s="3697" t="s">
        <v>1773</v>
      </c>
      <c r="W4" s="3697"/>
      <c r="X4" s="1354"/>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912"/>
      <c r="M5" s="913"/>
      <c r="N5" s="913"/>
      <c r="O5" s="913"/>
      <c r="P5" s="3740"/>
      <c r="Q5" s="3687"/>
      <c r="R5" s="3692"/>
      <c r="S5" s="3693"/>
      <c r="T5" s="3692"/>
      <c r="U5" s="3693"/>
      <c r="V5" s="3697"/>
      <c r="W5" s="3697"/>
      <c r="X5" s="1354"/>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912"/>
      <c r="M6" s="913"/>
      <c r="N6" s="913"/>
      <c r="O6" s="913"/>
      <c r="P6" s="3741"/>
      <c r="Q6" s="3689"/>
      <c r="R6" s="3692"/>
      <c r="S6" s="3693"/>
      <c r="T6" s="3694"/>
      <c r="U6" s="3695"/>
      <c r="V6" s="3697"/>
      <c r="W6" s="3697"/>
      <c r="X6" s="1354"/>
      <c r="Y6" s="3694"/>
      <c r="Z6" s="3695"/>
      <c r="AA6" s="3710"/>
      <c r="AB6" s="3710"/>
      <c r="AC6" s="3710"/>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4"/>
      <c r="M7" s="915"/>
      <c r="N7" s="915"/>
      <c r="O7" s="915"/>
      <c r="P7" s="3704" t="s">
        <v>1680</v>
      </c>
      <c r="Q7" s="3705"/>
      <c r="R7" s="700" t="s">
        <v>14</v>
      </c>
      <c r="S7" s="701">
        <f t="shared" ref="S7:S15" si="0">F7</f>
        <v>0</v>
      </c>
      <c r="T7" s="700" t="s">
        <v>14</v>
      </c>
      <c r="U7" s="701">
        <f t="shared" ref="U7:U15" si="1">H7</f>
        <v>0</v>
      </c>
      <c r="V7" s="700" t="s">
        <v>14</v>
      </c>
      <c r="W7" s="701">
        <f t="shared" ref="W7:W15" si="2">J7</f>
        <v>0</v>
      </c>
      <c r="X7" s="702"/>
      <c r="Y7" s="3704"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4" t="s">
        <v>1683</v>
      </c>
      <c r="Q8" s="3703"/>
      <c r="R8" s="700" t="s">
        <v>14</v>
      </c>
      <c r="S8" s="701">
        <f t="shared" si="0"/>
        <v>100</v>
      </c>
      <c r="T8" s="700" t="s">
        <v>14</v>
      </c>
      <c r="U8" s="701">
        <f t="shared" si="1"/>
        <v>100</v>
      </c>
      <c r="V8" s="700" t="s">
        <v>14</v>
      </c>
      <c r="W8" s="701">
        <f t="shared" si="2"/>
        <v>100</v>
      </c>
      <c r="X8" s="702"/>
      <c r="Y8" s="3704"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3"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63"/>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3"/>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3"/>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3"/>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3"/>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1"/>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1"/>
      <c r="Q18" s="1351"/>
      <c r="R18" s="704"/>
      <c r="S18" s="705"/>
      <c r="T18" s="704"/>
      <c r="U18" s="705"/>
      <c r="V18" s="704"/>
      <c r="W18" s="705"/>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1"/>
      <c r="Q20" s="1351"/>
      <c r="R20" s="704"/>
      <c r="S20" s="705"/>
      <c r="T20" s="704"/>
      <c r="U20" s="705"/>
      <c r="V20" s="704"/>
      <c r="W20" s="705"/>
      <c r="X20" s="1354"/>
      <c r="Y20" s="367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1"/>
      <c r="Q22" s="1351"/>
      <c r="R22" s="704"/>
      <c r="S22" s="705"/>
      <c r="T22" s="704"/>
      <c r="U22" s="705"/>
      <c r="V22" s="704"/>
      <c r="W22" s="705"/>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1"/>
      <c r="Q24" s="1351"/>
      <c r="R24" s="704"/>
      <c r="S24" s="705"/>
      <c r="T24" s="704"/>
      <c r="U24" s="705"/>
      <c r="V24" s="704"/>
      <c r="W24" s="705"/>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1">
        <f>B25</f>
        <v>111</v>
      </c>
      <c r="R25" s="704" t="s">
        <v>14</v>
      </c>
      <c r="S25" s="705">
        <f>F25</f>
        <v>100</v>
      </c>
      <c r="T25" s="704" t="s">
        <v>14</v>
      </c>
      <c r="U25" s="705">
        <f>H25</f>
        <v>100</v>
      </c>
      <c r="V25" s="704" t="s">
        <v>14</v>
      </c>
      <c r="W25" s="705">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1">
        <f t="shared" ref="Q26:Q40" si="11">B26</f>
        <v>111</v>
      </c>
      <c r="R26" s="704" t="s">
        <v>14</v>
      </c>
      <c r="S26" s="705">
        <f>F26</f>
        <v>100</v>
      </c>
      <c r="T26" s="704" t="s">
        <v>14</v>
      </c>
      <c r="U26" s="705">
        <f>H26</f>
        <v>100</v>
      </c>
      <c r="V26" s="704" t="s">
        <v>14</v>
      </c>
      <c r="W26" s="705">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2">
        <f t="shared" si="11"/>
        <v>111</v>
      </c>
      <c r="R27" s="700" t="s">
        <v>14</v>
      </c>
      <c r="S27" s="701">
        <f>F27</f>
        <v>100</v>
      </c>
      <c r="T27" s="700" t="s">
        <v>14</v>
      </c>
      <c r="U27" s="701">
        <f>H27</f>
        <v>100</v>
      </c>
      <c r="V27" s="700" t="s">
        <v>14</v>
      </c>
      <c r="W27" s="701">
        <f>J27</f>
        <v>100</v>
      </c>
      <c r="X27" s="702"/>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1">
        <f t="shared" si="11"/>
        <v>111</v>
      </c>
      <c r="R28" s="704" t="s">
        <v>14</v>
      </c>
      <c r="S28" s="705">
        <f t="shared" ref="S28:S40" si="12">F28</f>
        <v>100</v>
      </c>
      <c r="T28" s="704" t="s">
        <v>14</v>
      </c>
      <c r="U28" s="705">
        <f t="shared" ref="U28:U40" si="13">H28</f>
        <v>100</v>
      </c>
      <c r="V28" s="704" t="s">
        <v>14</v>
      </c>
      <c r="W28" s="705">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4" t="s">
        <v>1696</v>
      </c>
      <c r="Q29" s="1351" t="str">
        <f t="shared" si="11"/>
        <v>建筑类型</v>
      </c>
      <c r="R29" s="704" t="s">
        <v>14</v>
      </c>
      <c r="S29" s="705">
        <f t="shared" si="12"/>
        <v>100</v>
      </c>
      <c r="T29" s="704" t="s">
        <v>14</v>
      </c>
      <c r="U29" s="705">
        <f t="shared" si="13"/>
        <v>100</v>
      </c>
      <c r="V29" s="704" t="s">
        <v>14</v>
      </c>
      <c r="W29" s="705">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1" t="str">
        <f t="shared" si="11"/>
        <v>建筑结构</v>
      </c>
      <c r="R31" s="704" t="s">
        <v>14</v>
      </c>
      <c r="S31" s="705">
        <f t="shared" si="12"/>
        <v>100</v>
      </c>
      <c r="T31" s="704" t="s">
        <v>14</v>
      </c>
      <c r="U31" s="705">
        <f t="shared" si="13"/>
        <v>100</v>
      </c>
      <c r="V31" s="704" t="s">
        <v>14</v>
      </c>
      <c r="W31" s="705">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1" t="str">
        <f t="shared" si="11"/>
        <v>公共部分装修</v>
      </c>
      <c r="R32" s="704" t="s">
        <v>14</v>
      </c>
      <c r="S32" s="705">
        <f t="shared" si="12"/>
        <v>100</v>
      </c>
      <c r="T32" s="704" t="s">
        <v>14</v>
      </c>
      <c r="U32" s="705">
        <f t="shared" si="13"/>
        <v>100</v>
      </c>
      <c r="V32" s="704" t="s">
        <v>14</v>
      </c>
      <c r="W32" s="705">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1" t="str">
        <f t="shared" si="11"/>
        <v>成新度</v>
      </c>
      <c r="R33" s="704" t="s">
        <v>14</v>
      </c>
      <c r="S33" s="705" t="e">
        <f t="shared" si="12"/>
        <v>#N/A</v>
      </c>
      <c r="T33" s="704" t="s">
        <v>14</v>
      </c>
      <c r="U33" s="705" t="e">
        <f t="shared" si="13"/>
        <v>#N/A</v>
      </c>
      <c r="V33" s="704" t="s">
        <v>14</v>
      </c>
      <c r="W33" s="705"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2"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1696</v>
      </c>
      <c r="Q35" s="1351" t="str">
        <f t="shared" si="11"/>
        <v>市政基础设施</v>
      </c>
      <c r="R35" s="704" t="s">
        <v>14</v>
      </c>
      <c r="S35" s="705">
        <f t="shared" si="12"/>
        <v>100</v>
      </c>
      <c r="T35" s="704" t="s">
        <v>14</v>
      </c>
      <c r="U35" s="705">
        <f t="shared" si="13"/>
        <v>100</v>
      </c>
      <c r="V35" s="704" t="s">
        <v>14</v>
      </c>
      <c r="W35" s="705">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1" t="str">
        <f t="shared" si="11"/>
        <v>内部装修</v>
      </c>
      <c r="R36" s="704" t="s">
        <v>14</v>
      </c>
      <c r="S36" s="705">
        <f t="shared" si="12"/>
        <v>100</v>
      </c>
      <c r="T36" s="704" t="s">
        <v>14</v>
      </c>
      <c r="U36" s="705">
        <f t="shared" si="13"/>
        <v>100</v>
      </c>
      <c r="V36" s="704" t="s">
        <v>14</v>
      </c>
      <c r="W36" s="705">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1" t="str">
        <f t="shared" si="11"/>
        <v>内部装修状况</v>
      </c>
      <c r="R37" s="704" t="s">
        <v>14</v>
      </c>
      <c r="S37" s="705">
        <f t="shared" si="12"/>
        <v>100</v>
      </c>
      <c r="T37" s="704" t="s">
        <v>14</v>
      </c>
      <c r="U37" s="705">
        <f t="shared" si="13"/>
        <v>100</v>
      </c>
      <c r="V37" s="704" t="s">
        <v>14</v>
      </c>
      <c r="W37" s="705">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1">
        <f t="shared" si="11"/>
        <v>111</v>
      </c>
      <c r="R39" s="704" t="s">
        <v>14</v>
      </c>
      <c r="S39" s="705">
        <f t="shared" si="12"/>
        <v>100</v>
      </c>
      <c r="T39" s="704" t="s">
        <v>14</v>
      </c>
      <c r="U39" s="705">
        <f t="shared" si="13"/>
        <v>100</v>
      </c>
      <c r="V39" s="704" t="s">
        <v>14</v>
      </c>
      <c r="W39" s="705">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1">
        <f t="shared" si="11"/>
        <v>111</v>
      </c>
      <c r="R40" s="704" t="s">
        <v>14</v>
      </c>
      <c r="S40" s="705">
        <f t="shared" si="12"/>
        <v>100</v>
      </c>
      <c r="T40" s="704" t="s">
        <v>14</v>
      </c>
      <c r="U40" s="705">
        <f t="shared" si="13"/>
        <v>100</v>
      </c>
      <c r="V40" s="704" t="s">
        <v>14</v>
      </c>
      <c r="W40" s="705">
        <f t="shared" si="14"/>
        <v>100</v>
      </c>
      <c r="X40" s="1354"/>
      <c r="Y40" s="367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3" t="str">
        <f>A41</f>
        <v>成交单价（元/平方米）</v>
      </c>
      <c r="Q41" s="3663"/>
      <c r="R41" s="3664">
        <f>E41</f>
        <v>0</v>
      </c>
      <c r="S41" s="3664"/>
      <c r="T41" s="3664">
        <f>G41</f>
        <v>0</v>
      </c>
      <c r="U41" s="3664"/>
      <c r="V41" s="3664">
        <f>I41</f>
        <v>0</v>
      </c>
      <c r="W41" s="366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2023年1月4日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38" t="s">
        <v>1775</v>
      </c>
      <c r="Q4" s="3739"/>
      <c r="R4" s="3742" t="s">
        <v>1771</v>
      </c>
      <c r="S4" s="3743"/>
      <c r="T4" s="3742" t="s">
        <v>1772</v>
      </c>
      <c r="U4" s="3743"/>
      <c r="V4" s="3697" t="s">
        <v>1773</v>
      </c>
      <c r="W4" s="3697"/>
      <c r="X4" s="1354"/>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4"/>
      <c r="M5" s="2715"/>
      <c r="N5" s="2715"/>
      <c r="O5" s="2715"/>
      <c r="P5" s="3740"/>
      <c r="Q5" s="3687"/>
      <c r="R5" s="3692"/>
      <c r="S5" s="3693"/>
      <c r="T5" s="3692"/>
      <c r="U5" s="3693"/>
      <c r="V5" s="3697"/>
      <c r="W5" s="3697"/>
      <c r="X5" s="1354"/>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4"/>
      <c r="M6" s="2715"/>
      <c r="N6" s="2715"/>
      <c r="O6" s="2715"/>
      <c r="P6" s="3741"/>
      <c r="Q6" s="3689"/>
      <c r="R6" s="3692"/>
      <c r="S6" s="3693"/>
      <c r="T6" s="3694"/>
      <c r="U6" s="3695"/>
      <c r="V6" s="3697"/>
      <c r="W6" s="3697"/>
      <c r="X6" s="1354"/>
      <c r="Y6" s="3694"/>
      <c r="Z6" s="3695"/>
      <c r="AA6" s="3710"/>
      <c r="AB6" s="3710"/>
      <c r="AC6" s="3710"/>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4" t="s">
        <v>1680</v>
      </c>
      <c r="Q7" s="3705"/>
      <c r="R7" s="700" t="s">
        <v>14</v>
      </c>
      <c r="S7" s="701">
        <f t="shared" ref="S7:S14" si="0">F7</f>
        <v>0</v>
      </c>
      <c r="T7" s="700" t="s">
        <v>14</v>
      </c>
      <c r="U7" s="701">
        <f t="shared" ref="U7:U14" si="1">H7</f>
        <v>0</v>
      </c>
      <c r="V7" s="700" t="s">
        <v>14</v>
      </c>
      <c r="W7" s="701">
        <f t="shared" ref="W7:W14" si="2">J7</f>
        <v>0</v>
      </c>
      <c r="X7" s="702"/>
      <c r="Y7" s="3704"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4" t="s">
        <v>1683</v>
      </c>
      <c r="Q8" s="3703"/>
      <c r="R8" s="700" t="s">
        <v>14</v>
      </c>
      <c r="S8" s="701">
        <f t="shared" si="0"/>
        <v>100</v>
      </c>
      <c r="T8" s="700" t="s">
        <v>14</v>
      </c>
      <c r="U8" s="701">
        <f t="shared" si="1"/>
        <v>100</v>
      </c>
      <c r="V8" s="700" t="s">
        <v>14</v>
      </c>
      <c r="W8" s="701">
        <f t="shared" si="2"/>
        <v>100</v>
      </c>
      <c r="X8" s="702"/>
      <c r="Y8" s="3704" t="s">
        <v>1683</v>
      </c>
      <c r="Z8" s="370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2" t="str">
        <f t="shared" ref="Q9:Q14" si="6">B9</f>
        <v>用途</v>
      </c>
      <c r="R9" s="700" t="s">
        <v>14</v>
      </c>
      <c r="S9" s="701">
        <f t="shared" si="0"/>
        <v>100</v>
      </c>
      <c r="T9" s="700" t="s">
        <v>14</v>
      </c>
      <c r="U9" s="701">
        <f t="shared" si="1"/>
        <v>100</v>
      </c>
      <c r="V9" s="700" t="s">
        <v>14</v>
      </c>
      <c r="W9" s="701">
        <f t="shared" si="2"/>
        <v>100</v>
      </c>
      <c r="X9" s="702"/>
      <c r="Y9" s="3561"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1"/>
      <c r="Q15" s="1351"/>
      <c r="R15" s="704"/>
      <c r="S15" s="705"/>
      <c r="T15" s="704"/>
      <c r="U15" s="705"/>
      <c r="V15" s="704"/>
      <c r="W15" s="705"/>
      <c r="X15" s="1354"/>
      <c r="Y15" s="367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1"/>
      <c r="Q17" s="1351"/>
      <c r="R17" s="704"/>
      <c r="S17" s="705"/>
      <c r="T17" s="704"/>
      <c r="U17" s="705"/>
      <c r="V17" s="704"/>
      <c r="W17" s="705"/>
      <c r="X17" s="1354"/>
      <c r="Y17" s="367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1"/>
      <c r="Q19" s="1351"/>
      <c r="R19" s="704"/>
      <c r="S19" s="705"/>
      <c r="T19" s="704"/>
      <c r="U19" s="705"/>
      <c r="V19" s="704"/>
      <c r="W19" s="705"/>
      <c r="X19" s="1354"/>
      <c r="Y19" s="367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1"/>
      <c r="Q21" s="1351"/>
      <c r="R21" s="704"/>
      <c r="S21" s="705"/>
      <c r="T21" s="704"/>
      <c r="U21" s="705"/>
      <c r="V21" s="704"/>
      <c r="W21" s="705"/>
      <c r="X21" s="1354"/>
      <c r="Y21" s="367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1" t="str">
        <f t="shared" si="11"/>
        <v>公共部分装修</v>
      </c>
      <c r="R28" s="704" t="s">
        <v>14</v>
      </c>
      <c r="S28" s="705">
        <f t="shared" si="12"/>
        <v>100</v>
      </c>
      <c r="T28" s="704" t="s">
        <v>14</v>
      </c>
      <c r="U28" s="705">
        <f t="shared" si="13"/>
        <v>100</v>
      </c>
      <c r="V28" s="704" t="s">
        <v>14</v>
      </c>
      <c r="W28" s="705">
        <f t="shared" si="14"/>
        <v>100</v>
      </c>
      <c r="X28" s="1354"/>
      <c r="Y28" s="367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1" t="str">
        <f t="shared" si="11"/>
        <v>成新率</v>
      </c>
      <c r="R29" s="704" t="s">
        <v>14</v>
      </c>
      <c r="S29" s="705" t="e">
        <f t="shared" si="12"/>
        <v>#N/A</v>
      </c>
      <c r="T29" s="704" t="s">
        <v>14</v>
      </c>
      <c r="U29" s="705" t="e">
        <f t="shared" si="13"/>
        <v>#N/A</v>
      </c>
      <c r="V29" s="704" t="s">
        <v>14</v>
      </c>
      <c r="W29" s="705" t="e">
        <f t="shared" si="14"/>
        <v>#N/A</v>
      </c>
      <c r="X29" s="1354"/>
      <c r="Y29" s="367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5"/>
      <c r="Q30" s="1351" t="str">
        <f t="shared" si="11"/>
        <v>物业等级</v>
      </c>
      <c r="R30" s="704" t="s">
        <v>14</v>
      </c>
      <c r="S30" s="705">
        <f t="shared" si="12"/>
        <v>100</v>
      </c>
      <c r="T30" s="704" t="s">
        <v>14</v>
      </c>
      <c r="U30" s="705">
        <f t="shared" si="13"/>
        <v>100</v>
      </c>
      <c r="V30" s="704" t="s">
        <v>14</v>
      </c>
      <c r="W30" s="705">
        <f t="shared" si="14"/>
        <v>100</v>
      </c>
      <c r="X30" s="1354"/>
      <c r="Y30" s="367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2"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1" t="str">
        <f t="shared" si="11"/>
        <v>车位类型</v>
      </c>
      <c r="R32" s="704" t="s">
        <v>14</v>
      </c>
      <c r="S32" s="705">
        <f t="shared" si="12"/>
        <v>100</v>
      </c>
      <c r="T32" s="704" t="s">
        <v>14</v>
      </c>
      <c r="U32" s="705">
        <f t="shared" si="13"/>
        <v>100</v>
      </c>
      <c r="V32" s="704" t="s">
        <v>14</v>
      </c>
      <c r="W32" s="705">
        <f t="shared" si="14"/>
        <v>100</v>
      </c>
      <c r="X32" s="1354"/>
      <c r="Y32" s="367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1" t="str">
        <f t="shared" si="11"/>
        <v>是否直接入户</v>
      </c>
      <c r="R33" s="704" t="s">
        <v>14</v>
      </c>
      <c r="S33" s="705">
        <f t="shared" si="12"/>
        <v>100</v>
      </c>
      <c r="T33" s="704" t="s">
        <v>14</v>
      </c>
      <c r="U33" s="705">
        <f t="shared" si="13"/>
        <v>100</v>
      </c>
      <c r="V33" s="704" t="s">
        <v>14</v>
      </c>
      <c r="W33" s="705">
        <f t="shared" si="14"/>
        <v>100</v>
      </c>
      <c r="X33" s="1354"/>
      <c r="Y33" s="367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1">
        <f t="shared" si="11"/>
        <v>111</v>
      </c>
      <c r="R36" s="704" t="s">
        <v>14</v>
      </c>
      <c r="S36" s="705">
        <f t="shared" si="12"/>
        <v>100</v>
      </c>
      <c r="T36" s="704" t="s">
        <v>14</v>
      </c>
      <c r="U36" s="705">
        <f t="shared" si="13"/>
        <v>100</v>
      </c>
      <c r="V36" s="704" t="s">
        <v>14</v>
      </c>
      <c r="W36" s="705">
        <f t="shared" si="14"/>
        <v>100</v>
      </c>
      <c r="X36" s="1354"/>
      <c r="Y36" s="3675"/>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63" t="str">
        <f>A37</f>
        <v>成交单价</v>
      </c>
      <c r="Q37" s="3663"/>
      <c r="R37" s="3664">
        <f>E37</f>
        <v>0</v>
      </c>
      <c r="S37" s="3664"/>
      <c r="T37" s="3664">
        <f>G37</f>
        <v>0</v>
      </c>
      <c r="U37" s="3664"/>
      <c r="V37" s="3664">
        <f>I37</f>
        <v>0</v>
      </c>
      <c r="W37" s="366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38" t="s">
        <v>1775</v>
      </c>
      <c r="Q4" s="3739"/>
      <c r="R4" s="3742" t="s">
        <v>1771</v>
      </c>
      <c r="S4" s="3743"/>
      <c r="T4" s="3742" t="s">
        <v>1772</v>
      </c>
      <c r="U4" s="3743"/>
      <c r="V4" s="3697" t="s">
        <v>1773</v>
      </c>
      <c r="W4" s="3697"/>
      <c r="X4" s="1354"/>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4"/>
      <c r="M5" s="2715"/>
      <c r="N5" s="2715"/>
      <c r="O5" s="2715"/>
      <c r="P5" s="3740"/>
      <c r="Q5" s="3687"/>
      <c r="R5" s="3692"/>
      <c r="S5" s="3693"/>
      <c r="T5" s="3692"/>
      <c r="U5" s="3693"/>
      <c r="V5" s="3697"/>
      <c r="W5" s="3697"/>
      <c r="X5" s="1354"/>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4"/>
      <c r="M6" s="2715"/>
      <c r="N6" s="2715"/>
      <c r="O6" s="2715"/>
      <c r="P6" s="3741"/>
      <c r="Q6" s="3689"/>
      <c r="R6" s="3692"/>
      <c r="S6" s="3693"/>
      <c r="T6" s="3694"/>
      <c r="U6" s="3695"/>
      <c r="V6" s="3697"/>
      <c r="W6" s="3697"/>
      <c r="X6" s="1354"/>
      <c r="Y6" s="3694"/>
      <c r="Z6" s="3695"/>
      <c r="AA6" s="3710"/>
      <c r="AB6" s="3710"/>
      <c r="AC6" s="3710"/>
    </row>
    <row r="7" spans="1:29" s="108" customFormat="1" ht="15.75" thickBot="1">
      <c r="A7" s="362" t="s">
        <v>1679</v>
      </c>
      <c r="B7" s="363"/>
      <c r="C7" s="364">
        <f>'数据-取费表'!B2</f>
        <v>44930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4" t="s">
        <v>1680</v>
      </c>
      <c r="Q7" s="3705"/>
      <c r="R7" s="700" t="s">
        <v>14</v>
      </c>
      <c r="S7" s="701">
        <f t="shared" ref="S7:S14" si="0">F7</f>
        <v>0</v>
      </c>
      <c r="T7" s="700" t="s">
        <v>14</v>
      </c>
      <c r="U7" s="701">
        <f t="shared" ref="U7:U14" si="1">H7</f>
        <v>0</v>
      </c>
      <c r="V7" s="700" t="s">
        <v>14</v>
      </c>
      <c r="W7" s="701">
        <f t="shared" ref="W7:W14" si="2">J7</f>
        <v>0</v>
      </c>
      <c r="X7" s="702"/>
      <c r="Y7" s="3704"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4" t="s">
        <v>1683</v>
      </c>
      <c r="Q8" s="3703"/>
      <c r="R8" s="700" t="s">
        <v>14</v>
      </c>
      <c r="S8" s="701">
        <f t="shared" si="0"/>
        <v>100</v>
      </c>
      <c r="T8" s="700" t="s">
        <v>14</v>
      </c>
      <c r="U8" s="701">
        <f t="shared" si="1"/>
        <v>100</v>
      </c>
      <c r="V8" s="700" t="s">
        <v>14</v>
      </c>
      <c r="W8" s="701">
        <f t="shared" si="2"/>
        <v>100</v>
      </c>
      <c r="X8" s="702"/>
      <c r="Y8" s="3704"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2" t="str">
        <f t="shared" ref="Q9:Q14" si="6">B9</f>
        <v>用途</v>
      </c>
      <c r="R9" s="700" t="s">
        <v>14</v>
      </c>
      <c r="S9" s="701">
        <f t="shared" si="0"/>
        <v>100</v>
      </c>
      <c r="T9" s="700" t="s">
        <v>14</v>
      </c>
      <c r="U9" s="701">
        <f t="shared" si="1"/>
        <v>100</v>
      </c>
      <c r="V9" s="700" t="s">
        <v>14</v>
      </c>
      <c r="W9" s="701">
        <f t="shared" si="2"/>
        <v>100</v>
      </c>
      <c r="X9" s="702"/>
      <c r="Y9" s="3561"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63"/>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4"/>
      <c r="S15" s="705"/>
      <c r="T15" s="704"/>
      <c r="U15" s="705"/>
      <c r="V15" s="704"/>
      <c r="W15" s="705"/>
      <c r="X15" s="1354"/>
      <c r="Y15" s="367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4"/>
      <c r="S17" s="705"/>
      <c r="T17" s="704"/>
      <c r="U17" s="705"/>
      <c r="V17" s="704"/>
      <c r="W17" s="705"/>
      <c r="X17" s="1354"/>
      <c r="Y17" s="367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1"/>
      <c r="Q19" s="1351"/>
      <c r="R19" s="704"/>
      <c r="S19" s="705"/>
      <c r="T19" s="704"/>
      <c r="U19" s="705"/>
      <c r="V19" s="704"/>
      <c r="W19" s="705"/>
      <c r="X19" s="1354"/>
      <c r="Y19" s="367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4"/>
      <c r="S21" s="705"/>
      <c r="T21" s="704"/>
      <c r="U21" s="705"/>
      <c r="V21" s="704"/>
      <c r="W21" s="705"/>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1" t="str">
        <f t="shared" si="11"/>
        <v>物业等级</v>
      </c>
      <c r="R28" s="704" t="s">
        <v>14</v>
      </c>
      <c r="S28" s="705">
        <f t="shared" si="12"/>
        <v>100</v>
      </c>
      <c r="T28" s="704" t="s">
        <v>14</v>
      </c>
      <c r="U28" s="705">
        <f t="shared" si="13"/>
        <v>100</v>
      </c>
      <c r="V28" s="704" t="s">
        <v>14</v>
      </c>
      <c r="W28" s="705">
        <f t="shared" si="14"/>
        <v>100</v>
      </c>
      <c r="X28" s="1354"/>
      <c r="Y28" s="367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5"/>
      <c r="Q29" s="1351" t="str">
        <f t="shared" si="11"/>
        <v>有无电梯</v>
      </c>
      <c r="R29" s="704" t="s">
        <v>14</v>
      </c>
      <c r="S29" s="705">
        <f t="shared" si="12"/>
        <v>100</v>
      </c>
      <c r="T29" s="704" t="s">
        <v>14</v>
      </c>
      <c r="U29" s="705">
        <f t="shared" si="13"/>
        <v>100</v>
      </c>
      <c r="V29" s="704" t="s">
        <v>14</v>
      </c>
      <c r="W29" s="705">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1" t="str">
        <f t="shared" si="11"/>
        <v>建筑面积</v>
      </c>
      <c r="R30" s="704" t="s">
        <v>14</v>
      </c>
      <c r="S30" s="705" t="e">
        <f t="shared" si="12"/>
        <v>#N/A</v>
      </c>
      <c r="T30" s="704" t="s">
        <v>14</v>
      </c>
      <c r="U30" s="705" t="e">
        <f t="shared" si="13"/>
        <v>#N/A</v>
      </c>
      <c r="V30" s="704" t="s">
        <v>14</v>
      </c>
      <c r="W30" s="705"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5"/>
      <c r="Q31" s="1342"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1">
        <f t="shared" si="11"/>
        <v>111</v>
      </c>
      <c r="R32" s="704" t="s">
        <v>14</v>
      </c>
      <c r="S32" s="705">
        <f t="shared" si="12"/>
        <v>100</v>
      </c>
      <c r="T32" s="704" t="s">
        <v>14</v>
      </c>
      <c r="U32" s="705">
        <f t="shared" si="13"/>
        <v>100</v>
      </c>
      <c r="V32" s="704" t="s">
        <v>14</v>
      </c>
      <c r="W32" s="705">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1">
        <f t="shared" si="11"/>
        <v>111</v>
      </c>
      <c r="R33" s="704" t="s">
        <v>14</v>
      </c>
      <c r="S33" s="705">
        <f t="shared" si="12"/>
        <v>100</v>
      </c>
      <c r="T33" s="704" t="s">
        <v>14</v>
      </c>
      <c r="U33" s="705">
        <f t="shared" si="13"/>
        <v>100</v>
      </c>
      <c r="V33" s="704" t="s">
        <v>14</v>
      </c>
      <c r="W33" s="705">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3" t="str">
        <f>A35</f>
        <v>成交单价（元/平方米）</v>
      </c>
      <c r="Q35" s="3663"/>
      <c r="R35" s="3664">
        <f>E35</f>
        <v>0</v>
      </c>
      <c r="S35" s="3664"/>
      <c r="T35" s="3664">
        <f>G35</f>
        <v>0</v>
      </c>
      <c r="U35" s="3664"/>
      <c r="V35" s="3664">
        <f>I35</f>
        <v>0</v>
      </c>
      <c r="W35" s="366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738" t="s">
        <v>1775</v>
      </c>
      <c r="Q4" s="3739"/>
      <c r="R4" s="3742" t="s">
        <v>1771</v>
      </c>
      <c r="S4" s="3743"/>
      <c r="T4" s="3742" t="s">
        <v>1772</v>
      </c>
      <c r="U4" s="3743"/>
      <c r="V4" s="3697" t="s">
        <v>1773</v>
      </c>
      <c r="W4" s="3697"/>
      <c r="X4" s="1354"/>
      <c r="Y4" s="3742" t="s">
        <v>1775</v>
      </c>
      <c r="Z4" s="3743"/>
      <c r="AA4" s="3737" t="s">
        <v>1771</v>
      </c>
      <c r="AB4" s="3709" t="s">
        <v>1772</v>
      </c>
      <c r="AC4" s="3737" t="s">
        <v>1773</v>
      </c>
    </row>
    <row r="5" spans="1:30" ht="15">
      <c r="A5" s="358"/>
      <c r="B5" s="359"/>
      <c r="C5" s="3700" t="s">
        <v>1673</v>
      </c>
      <c r="D5" s="3701"/>
      <c r="E5" s="3711" t="s">
        <v>1674</v>
      </c>
      <c r="F5" s="3712"/>
      <c r="G5" s="3700" t="s">
        <v>1675</v>
      </c>
      <c r="H5" s="3701"/>
      <c r="I5" s="3700" t="s">
        <v>1676</v>
      </c>
      <c r="J5" s="3701"/>
      <c r="K5" s="559"/>
      <c r="L5" s="2714"/>
      <c r="M5" s="2715"/>
      <c r="N5" s="2715"/>
      <c r="O5" s="2715"/>
      <c r="P5" s="3740"/>
      <c r="Q5" s="3687"/>
      <c r="R5" s="3692"/>
      <c r="S5" s="3693"/>
      <c r="T5" s="3692"/>
      <c r="U5" s="3693"/>
      <c r="V5" s="3697"/>
      <c r="W5" s="3697"/>
      <c r="X5" s="1354"/>
      <c r="Y5" s="3692"/>
      <c r="Z5" s="3693"/>
      <c r="AA5" s="3709"/>
      <c r="AB5" s="3709"/>
      <c r="AC5" s="3709"/>
    </row>
    <row r="6" spans="1:30" ht="15.75" thickBot="1">
      <c r="A6" s="360"/>
      <c r="B6" s="361"/>
      <c r="C6" s="3698" t="s">
        <v>1677</v>
      </c>
      <c r="D6" s="3699"/>
      <c r="E6" s="3706" t="s">
        <v>1677</v>
      </c>
      <c r="F6" s="3707"/>
      <c r="G6" s="3698" t="s">
        <v>1677</v>
      </c>
      <c r="H6" s="3699"/>
      <c r="I6" s="3698" t="s">
        <v>1677</v>
      </c>
      <c r="J6" s="3699"/>
      <c r="K6" s="559" t="s">
        <v>1678</v>
      </c>
      <c r="L6" s="2714"/>
      <c r="M6" s="2715"/>
      <c r="N6" s="2715"/>
      <c r="O6" s="2715"/>
      <c r="P6" s="3741"/>
      <c r="Q6" s="3689"/>
      <c r="R6" s="3692"/>
      <c r="S6" s="3693"/>
      <c r="T6" s="3694"/>
      <c r="U6" s="3695"/>
      <c r="V6" s="3697"/>
      <c r="W6" s="3697"/>
      <c r="X6" s="1354"/>
      <c r="Y6" s="3694"/>
      <c r="Z6" s="3695"/>
      <c r="AA6" s="3710"/>
      <c r="AB6" s="3710"/>
      <c r="AC6" s="3710"/>
    </row>
    <row r="7" spans="1:30" s="108" customFormat="1" ht="15.75" thickBot="1">
      <c r="A7" s="362" t="s">
        <v>1679</v>
      </c>
      <c r="B7" s="363"/>
      <c r="C7" s="364">
        <f>'数据-取费表'!B2</f>
        <v>44930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4" t="s">
        <v>1680</v>
      </c>
      <c r="Q7" s="3705"/>
      <c r="R7" s="700" t="s">
        <v>14</v>
      </c>
      <c r="S7" s="701">
        <f t="shared" ref="S7:S15" si="0">F7</f>
        <v>0</v>
      </c>
      <c r="T7" s="700" t="s">
        <v>14</v>
      </c>
      <c r="U7" s="701">
        <f t="shared" ref="U7:U15" si="1">H7</f>
        <v>0</v>
      </c>
      <c r="V7" s="700" t="s">
        <v>14</v>
      </c>
      <c r="W7" s="701">
        <f t="shared" ref="W7:W15" si="2">J7</f>
        <v>0</v>
      </c>
      <c r="X7" s="702"/>
      <c r="Y7" s="3704"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4" t="s">
        <v>1683</v>
      </c>
      <c r="Q8" s="3703"/>
      <c r="R8" s="700" t="s">
        <v>14</v>
      </c>
      <c r="S8" s="701">
        <f t="shared" si="0"/>
        <v>0</v>
      </c>
      <c r="T8" s="700" t="s">
        <v>14</v>
      </c>
      <c r="U8" s="701">
        <f t="shared" si="1"/>
        <v>0</v>
      </c>
      <c r="V8" s="700" t="s">
        <v>14</v>
      </c>
      <c r="W8" s="701">
        <f t="shared" si="2"/>
        <v>0</v>
      </c>
      <c r="X8" s="702"/>
      <c r="Y8" s="3704"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63"/>
      <c r="Q10" s="1342" t="str">
        <f t="shared" si="6"/>
        <v>土地使用年限（年）</v>
      </c>
      <c r="R10" s="700" t="s">
        <v>14</v>
      </c>
      <c r="S10" s="701">
        <f t="shared" si="0"/>
        <v>111</v>
      </c>
      <c r="T10" s="700" t="s">
        <v>14</v>
      </c>
      <c r="U10" s="701">
        <f t="shared" si="1"/>
        <v>111</v>
      </c>
      <c r="V10" s="700" t="s">
        <v>14</v>
      </c>
      <c r="W10" s="701">
        <f t="shared" si="2"/>
        <v>111</v>
      </c>
      <c r="X10" s="702"/>
      <c r="Y10" s="3561"/>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3"/>
      <c r="Q12" s="1342" t="str">
        <f t="shared" si="6"/>
        <v>配建</v>
      </c>
      <c r="R12" s="700" t="s">
        <v>14</v>
      </c>
      <c r="S12" s="701">
        <f t="shared" si="0"/>
        <v>100</v>
      </c>
      <c r="T12" s="700" t="s">
        <v>14</v>
      </c>
      <c r="U12" s="701">
        <f t="shared" si="1"/>
        <v>100</v>
      </c>
      <c r="V12" s="700" t="s">
        <v>14</v>
      </c>
      <c r="W12" s="701">
        <f t="shared" si="2"/>
        <v>100</v>
      </c>
      <c r="X12" s="702"/>
      <c r="Y12" s="356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1691</v>
      </c>
      <c r="Q15" s="1351" t="str">
        <f t="shared" si="6"/>
        <v>居住社区成熟度</v>
      </c>
      <c r="R15" s="704" t="s">
        <v>14</v>
      </c>
      <c r="S15" s="705">
        <f t="shared" si="0"/>
        <v>100</v>
      </c>
      <c r="T15" s="704" t="s">
        <v>14</v>
      </c>
      <c r="U15" s="705">
        <f t="shared" si="1"/>
        <v>100</v>
      </c>
      <c r="V15" s="704" t="s">
        <v>14</v>
      </c>
      <c r="W15" s="705">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1"/>
      <c r="Q16" s="1351"/>
      <c r="R16" s="704"/>
      <c r="S16" s="705"/>
      <c r="T16" s="704"/>
      <c r="U16" s="705"/>
      <c r="V16" s="704"/>
      <c r="W16" s="705"/>
      <c r="X16" s="1354"/>
      <c r="Y16" s="367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1" t="str">
        <f>B17</f>
        <v>商业繁华度</v>
      </c>
      <c r="R17" s="704" t="s">
        <v>14</v>
      </c>
      <c r="S17" s="705">
        <f>F17</f>
        <v>100</v>
      </c>
      <c r="T17" s="704" t="s">
        <v>14</v>
      </c>
      <c r="U17" s="705">
        <f>H17</f>
        <v>100</v>
      </c>
      <c r="V17" s="704" t="s">
        <v>14</v>
      </c>
      <c r="W17" s="705">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1"/>
      <c r="Q18" s="1351"/>
      <c r="R18" s="704"/>
      <c r="S18" s="705"/>
      <c r="T18" s="704"/>
      <c r="U18" s="705"/>
      <c r="V18" s="704"/>
      <c r="W18" s="705"/>
      <c r="X18" s="1354"/>
      <c r="Y18" s="367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1" t="str">
        <f>B19</f>
        <v>办公集聚程度</v>
      </c>
      <c r="R19" s="704" t="s">
        <v>14</v>
      </c>
      <c r="S19" s="705">
        <f>F19</f>
        <v>100</v>
      </c>
      <c r="T19" s="704" t="s">
        <v>14</v>
      </c>
      <c r="U19" s="705">
        <f>H19</f>
        <v>100</v>
      </c>
      <c r="V19" s="704" t="s">
        <v>14</v>
      </c>
      <c r="W19" s="705">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1"/>
      <c r="Q20" s="1351"/>
      <c r="R20" s="704"/>
      <c r="S20" s="705"/>
      <c r="T20" s="704"/>
      <c r="U20" s="705"/>
      <c r="V20" s="704"/>
      <c r="W20" s="705"/>
      <c r="X20" s="1354"/>
      <c r="Y20" s="367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1" t="str">
        <f>B21</f>
        <v>交通便捷度</v>
      </c>
      <c r="R21" s="704" t="s">
        <v>14</v>
      </c>
      <c r="S21" s="705">
        <f>F21</f>
        <v>100</v>
      </c>
      <c r="T21" s="704" t="s">
        <v>14</v>
      </c>
      <c r="U21" s="705">
        <f>H21</f>
        <v>100</v>
      </c>
      <c r="V21" s="704" t="s">
        <v>14</v>
      </c>
      <c r="W21" s="705">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1"/>
      <c r="Q22" s="1351"/>
      <c r="R22" s="704"/>
      <c r="S22" s="705"/>
      <c r="T22" s="704"/>
      <c r="U22" s="705"/>
      <c r="V22" s="704"/>
      <c r="W22" s="705"/>
      <c r="X22" s="1354"/>
      <c r="Y22" s="367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1" t="str">
        <f t="shared" ref="Q23:Q37" si="8">B23</f>
        <v>区域土地利用方向</v>
      </c>
      <c r="R23" s="704" t="s">
        <v>14</v>
      </c>
      <c r="S23" s="705">
        <f>F23</f>
        <v>100</v>
      </c>
      <c r="T23" s="704" t="s">
        <v>14</v>
      </c>
      <c r="U23" s="705">
        <f>H23</f>
        <v>100</v>
      </c>
      <c r="V23" s="704" t="s">
        <v>14</v>
      </c>
      <c r="W23" s="705">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1"/>
      <c r="Q24" s="1351"/>
      <c r="R24" s="704"/>
      <c r="S24" s="705"/>
      <c r="T24" s="704"/>
      <c r="U24" s="705"/>
      <c r="V24" s="704"/>
      <c r="W24" s="705"/>
      <c r="X24" s="1354"/>
      <c r="Y24" s="367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1" t="str">
        <f t="shared" si="8"/>
        <v>自然及人文环境状况</v>
      </c>
      <c r="R25" s="704" t="s">
        <v>14</v>
      </c>
      <c r="S25" s="705">
        <f>F25</f>
        <v>100</v>
      </c>
      <c r="T25" s="704" t="s">
        <v>14</v>
      </c>
      <c r="U25" s="705">
        <f>H25</f>
        <v>100</v>
      </c>
      <c r="V25" s="704" t="s">
        <v>14</v>
      </c>
      <c r="W25" s="705">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1"/>
      <c r="Q26" s="1351"/>
      <c r="R26" s="704"/>
      <c r="S26" s="705"/>
      <c r="T26" s="704"/>
      <c r="U26" s="705"/>
      <c r="V26" s="704"/>
      <c r="W26" s="705"/>
      <c r="X26" s="1354"/>
      <c r="Y26" s="3671"/>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2" t="str">
        <f t="shared" si="8"/>
        <v>公共配套设施</v>
      </c>
      <c r="R27" s="700" t="s">
        <v>14</v>
      </c>
      <c r="S27" s="701">
        <f>F27</f>
        <v>100</v>
      </c>
      <c r="T27" s="700" t="s">
        <v>14</v>
      </c>
      <c r="U27" s="701">
        <f>H27</f>
        <v>100</v>
      </c>
      <c r="V27" s="700" t="s">
        <v>14</v>
      </c>
      <c r="W27" s="701">
        <f>J27</f>
        <v>100</v>
      </c>
      <c r="X27" s="702"/>
      <c r="Y27" s="367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1"/>
      <c r="Q28" s="1342"/>
      <c r="R28" s="700"/>
      <c r="S28" s="701"/>
      <c r="T28" s="700"/>
      <c r="U28" s="701"/>
      <c r="V28" s="700"/>
      <c r="W28" s="701"/>
      <c r="X28" s="702"/>
      <c r="Y28" s="3671"/>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2"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1"/>
      <c r="Q30" s="1342"/>
      <c r="R30" s="700"/>
      <c r="S30" s="701"/>
      <c r="T30" s="700"/>
      <c r="U30" s="701"/>
      <c r="V30" s="700"/>
      <c r="W30" s="701"/>
      <c r="X30" s="702"/>
      <c r="Y30" s="367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1" t="str">
        <f t="shared" si="8"/>
        <v>毗邻道路的类型与等级</v>
      </c>
      <c r="R32" s="704" t="s">
        <v>14</v>
      </c>
      <c r="S32" s="705">
        <f t="shared" si="10"/>
        <v>100</v>
      </c>
      <c r="T32" s="704" t="s">
        <v>14</v>
      </c>
      <c r="U32" s="705">
        <f t="shared" si="11"/>
        <v>100</v>
      </c>
      <c r="V32" s="704" t="s">
        <v>14</v>
      </c>
      <c r="W32" s="705">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4"/>
      <c r="S33" s="705"/>
      <c r="T33" s="704"/>
      <c r="U33" s="705"/>
      <c r="V33" s="704"/>
      <c r="W33" s="705"/>
      <c r="X33" s="1354"/>
      <c r="Y33" s="367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4" t="s">
        <v>14</v>
      </c>
      <c r="S34" s="705">
        <f t="shared" si="10"/>
        <v>100</v>
      </c>
      <c r="T34" s="704" t="s">
        <v>14</v>
      </c>
      <c r="U34" s="705">
        <f t="shared" si="11"/>
        <v>100</v>
      </c>
      <c r="V34" s="704" t="s">
        <v>14</v>
      </c>
      <c r="W34" s="705">
        <f t="shared" si="12"/>
        <v>100</v>
      </c>
      <c r="X34" s="1354"/>
      <c r="Y34" s="367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1">
        <f t="shared" si="8"/>
        <v>111</v>
      </c>
      <c r="R35" s="704" t="s">
        <v>14</v>
      </c>
      <c r="S35" s="705">
        <f t="shared" si="10"/>
        <v>100</v>
      </c>
      <c r="T35" s="704" t="s">
        <v>14</v>
      </c>
      <c r="U35" s="705">
        <f t="shared" si="11"/>
        <v>100</v>
      </c>
      <c r="V35" s="704" t="s">
        <v>14</v>
      </c>
      <c r="W35" s="705">
        <f t="shared" si="12"/>
        <v>100</v>
      </c>
      <c r="X35" s="1354"/>
      <c r="Y35" s="367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4" t="s">
        <v>1696</v>
      </c>
      <c r="Q36" s="1351">
        <f t="shared" si="8"/>
        <v>111</v>
      </c>
      <c r="R36" s="704" t="s">
        <v>14</v>
      </c>
      <c r="S36" s="705">
        <f t="shared" si="10"/>
        <v>100</v>
      </c>
      <c r="T36" s="704" t="s">
        <v>14</v>
      </c>
      <c r="U36" s="705">
        <f t="shared" si="11"/>
        <v>100</v>
      </c>
      <c r="V36" s="704" t="s">
        <v>14</v>
      </c>
      <c r="W36" s="705">
        <f t="shared" si="12"/>
        <v>100</v>
      </c>
      <c r="X36" s="1354"/>
      <c r="Y36" s="367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5"/>
      <c r="Q37" s="1351">
        <f t="shared" si="8"/>
        <v>111</v>
      </c>
      <c r="R37" s="707" t="s">
        <v>14</v>
      </c>
      <c r="S37" s="708">
        <f t="shared" si="10"/>
        <v>100</v>
      </c>
      <c r="T37" s="707" t="s">
        <v>14</v>
      </c>
      <c r="U37" s="708">
        <f t="shared" si="11"/>
        <v>100</v>
      </c>
      <c r="V37" s="707" t="s">
        <v>14</v>
      </c>
      <c r="W37" s="708">
        <f t="shared" si="12"/>
        <v>100</v>
      </c>
      <c r="X37" s="709"/>
      <c r="Y37" s="3675"/>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5"/>
      <c r="Q38" s="1351" t="str">
        <f>B38</f>
        <v>宗地面积</v>
      </c>
      <c r="R38" s="704" t="s">
        <v>14</v>
      </c>
      <c r="S38" s="705" t="e">
        <f t="shared" si="10"/>
        <v>#N/A</v>
      </c>
      <c r="T38" s="704" t="s">
        <v>14</v>
      </c>
      <c r="U38" s="705" t="e">
        <f t="shared" si="11"/>
        <v>#N/A</v>
      </c>
      <c r="V38" s="704" t="s">
        <v>14</v>
      </c>
      <c r="W38" s="705"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5"/>
      <c r="Q39" s="1351" t="str">
        <f t="shared" ref="Q39:Q45" si="14">B39</f>
        <v>宗地形状</v>
      </c>
      <c r="R39" s="704" t="s">
        <v>14</v>
      </c>
      <c r="S39" s="705">
        <f t="shared" si="10"/>
        <v>100</v>
      </c>
      <c r="T39" s="704" t="s">
        <v>14</v>
      </c>
      <c r="U39" s="705">
        <f t="shared" si="11"/>
        <v>100</v>
      </c>
      <c r="V39" s="704" t="s">
        <v>14</v>
      </c>
      <c r="W39" s="705">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5"/>
      <c r="Q40" s="1351" t="str">
        <f t="shared" si="14"/>
        <v>临街宽度及深度</v>
      </c>
      <c r="R40" s="704" t="s">
        <v>14</v>
      </c>
      <c r="S40" s="705">
        <f t="shared" si="10"/>
        <v>100</v>
      </c>
      <c r="T40" s="704" t="s">
        <v>14</v>
      </c>
      <c r="U40" s="705">
        <f t="shared" si="11"/>
        <v>100</v>
      </c>
      <c r="V40" s="704" t="s">
        <v>14</v>
      </c>
      <c r="W40" s="705">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5"/>
      <c r="Q41" s="1351"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5" t="s">
        <v>1696</v>
      </c>
      <c r="Q42" s="1351" t="str">
        <f t="shared" si="14"/>
        <v>工程地质条件</v>
      </c>
      <c r="R42" s="704" t="s">
        <v>14</v>
      </c>
      <c r="S42" s="705">
        <f t="shared" si="10"/>
        <v>100</v>
      </c>
      <c r="T42" s="704" t="s">
        <v>14</v>
      </c>
      <c r="U42" s="705">
        <f t="shared" si="11"/>
        <v>100</v>
      </c>
      <c r="V42" s="704" t="s">
        <v>14</v>
      </c>
      <c r="W42" s="705">
        <f t="shared" si="12"/>
        <v>100</v>
      </c>
      <c r="X42" s="1354"/>
      <c r="Y42" s="367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5"/>
      <c r="Q43" s="1351">
        <f t="shared" si="14"/>
        <v>111</v>
      </c>
      <c r="R43" s="704" t="s">
        <v>14</v>
      </c>
      <c r="S43" s="705">
        <f t="shared" si="10"/>
        <v>100</v>
      </c>
      <c r="T43" s="704" t="s">
        <v>14</v>
      </c>
      <c r="U43" s="705">
        <f t="shared" si="11"/>
        <v>100</v>
      </c>
      <c r="V43" s="704" t="s">
        <v>14</v>
      </c>
      <c r="W43" s="705">
        <f t="shared" si="12"/>
        <v>100</v>
      </c>
      <c r="X43" s="1354"/>
      <c r="Y43" s="367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5"/>
      <c r="Q44" s="1351">
        <f t="shared" si="14"/>
        <v>111</v>
      </c>
      <c r="R44" s="704" t="s">
        <v>14</v>
      </c>
      <c r="S44" s="705">
        <f t="shared" si="10"/>
        <v>100</v>
      </c>
      <c r="T44" s="704" t="s">
        <v>14</v>
      </c>
      <c r="U44" s="705">
        <f t="shared" si="11"/>
        <v>100</v>
      </c>
      <c r="V44" s="704" t="s">
        <v>14</v>
      </c>
      <c r="W44" s="705">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5"/>
      <c r="Q45" s="1351">
        <f t="shared" si="14"/>
        <v>111</v>
      </c>
      <c r="R45" s="707" t="s">
        <v>14</v>
      </c>
      <c r="S45" s="708">
        <f t="shared" si="10"/>
        <v>100</v>
      </c>
      <c r="T45" s="707" t="s">
        <v>14</v>
      </c>
      <c r="U45" s="708">
        <f t="shared" si="11"/>
        <v>100</v>
      </c>
      <c r="V45" s="707" t="s">
        <v>14</v>
      </c>
      <c r="W45" s="708">
        <f t="shared" si="12"/>
        <v>100</v>
      </c>
      <c r="X45" s="709"/>
      <c r="Y45" s="3675"/>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63" t="str">
        <f>A46</f>
        <v>成交单价</v>
      </c>
      <c r="Q46" s="3663"/>
      <c r="R46" s="3697">
        <f>E46</f>
        <v>0</v>
      </c>
      <c r="S46" s="3697"/>
      <c r="T46" s="3697">
        <f>G46</f>
        <v>0</v>
      </c>
      <c r="U46" s="3697"/>
      <c r="V46" s="3697">
        <f>I46</f>
        <v>0</v>
      </c>
      <c r="W46" s="369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63" t="str">
        <f>A47</f>
        <v>比较价值（元/平方米）</v>
      </c>
      <c r="Q47" s="3663"/>
      <c r="R47" s="3746" t="e">
        <f>ROUND(PRODUCT(R46,AA7:AA45),0)</f>
        <v>#DIV/0!</v>
      </c>
      <c r="S47" s="3746"/>
      <c r="T47" s="3746" t="e">
        <f>ROUND(PRODUCT(T46,AB7:AB45),0)</f>
        <v>#DIV/0!</v>
      </c>
      <c r="U47" s="3746"/>
      <c r="V47" s="3746" t="e">
        <f>ROUND(PRODUCT(V46,AC7:AC45),0)</f>
        <v>#DIV/0!</v>
      </c>
      <c r="W47" s="374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34" t="str">
        <f>A48</f>
        <v>估价对象XX用房的比较价值（楼面单价，元/平方米）</v>
      </c>
      <c r="Q48" s="3735"/>
      <c r="R48" s="3747" t="e">
        <f>ROUND(IF(D47="简单平均",AVERAGE(R47:W47),R47*F47+T47*H47+V47*J47),0)</f>
        <v>#DIV/0!</v>
      </c>
      <c r="S48" s="3747"/>
      <c r="T48" s="3747"/>
      <c r="U48" s="3747"/>
      <c r="V48" s="3747"/>
      <c r="W48" s="374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80" t="s">
        <v>1887</v>
      </c>
      <c r="H55" s="374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229.53</v>
      </c>
      <c r="F56" s="885" t="e">
        <f t="shared" ref="F56:F64" si="15">ROUND(B56*E56/10000,0)</f>
        <v>#DIV/0!</v>
      </c>
      <c r="G56" s="3662"/>
      <c r="H56" s="366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38" t="s">
        <v>1775</v>
      </c>
      <c r="Q4" s="3739"/>
      <c r="R4" s="3742" t="s">
        <v>1771</v>
      </c>
      <c r="S4" s="3743"/>
      <c r="T4" s="3742" t="s">
        <v>1772</v>
      </c>
      <c r="U4" s="3743"/>
      <c r="V4" s="3697" t="s">
        <v>1773</v>
      </c>
      <c r="W4" s="3697"/>
      <c r="X4" s="1354"/>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4"/>
      <c r="M5" s="2715"/>
      <c r="N5" s="2715"/>
      <c r="O5" s="2715"/>
      <c r="P5" s="3740"/>
      <c r="Q5" s="3687"/>
      <c r="R5" s="3692"/>
      <c r="S5" s="3693"/>
      <c r="T5" s="3692"/>
      <c r="U5" s="3693"/>
      <c r="V5" s="3697"/>
      <c r="W5" s="3697"/>
      <c r="X5" s="1354"/>
      <c r="Y5" s="3692"/>
      <c r="Z5" s="3693"/>
      <c r="AA5" s="3709"/>
      <c r="AB5" s="3709"/>
      <c r="AC5" s="3709"/>
    </row>
    <row r="6" spans="1:29" ht="15.75" thickBot="1">
      <c r="A6" s="360"/>
      <c r="B6" s="361"/>
      <c r="C6" s="3749" t="s">
        <v>1919</v>
      </c>
      <c r="D6" s="3750"/>
      <c r="E6" s="3751" t="s">
        <v>1919</v>
      </c>
      <c r="F6" s="3752"/>
      <c r="G6" s="3749" t="s">
        <v>1919</v>
      </c>
      <c r="H6" s="3750"/>
      <c r="I6" s="3749" t="s">
        <v>1919</v>
      </c>
      <c r="J6" s="3750"/>
      <c r="K6" s="559" t="s">
        <v>1678</v>
      </c>
      <c r="L6" s="2714"/>
      <c r="M6" s="2715"/>
      <c r="N6" s="2715"/>
      <c r="O6" s="2715"/>
      <c r="P6" s="3741"/>
      <c r="Q6" s="3689"/>
      <c r="R6" s="3692"/>
      <c r="S6" s="3693"/>
      <c r="T6" s="3694"/>
      <c r="U6" s="3695"/>
      <c r="V6" s="3697"/>
      <c r="W6" s="3697"/>
      <c r="X6" s="1354"/>
      <c r="Y6" s="3694"/>
      <c r="Z6" s="3695"/>
      <c r="AA6" s="3710"/>
      <c r="AB6" s="3710"/>
      <c r="AC6" s="3710"/>
    </row>
    <row r="7" spans="1:29" s="108" customFormat="1" ht="15.75" thickBot="1">
      <c r="A7" s="362" t="s">
        <v>1679</v>
      </c>
      <c r="B7" s="363"/>
      <c r="C7" s="364">
        <f>'数据-取费表'!B2</f>
        <v>44930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4" t="s">
        <v>1680</v>
      </c>
      <c r="Q7" s="3705"/>
      <c r="R7" s="700" t="s">
        <v>14</v>
      </c>
      <c r="S7" s="701">
        <f t="shared" ref="S7:S15" si="0">F7</f>
        <v>0</v>
      </c>
      <c r="T7" s="700" t="s">
        <v>14</v>
      </c>
      <c r="U7" s="701">
        <f t="shared" ref="U7:U15" si="1">H7</f>
        <v>0</v>
      </c>
      <c r="V7" s="700" t="s">
        <v>14</v>
      </c>
      <c r="W7" s="701">
        <f t="shared" ref="W7:W15" si="2">J7</f>
        <v>0</v>
      </c>
      <c r="X7" s="702"/>
      <c r="Y7" s="3704"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4" t="s">
        <v>1683</v>
      </c>
      <c r="Q8" s="3703"/>
      <c r="R8" s="700" t="s">
        <v>14</v>
      </c>
      <c r="S8" s="701">
        <f t="shared" si="0"/>
        <v>0</v>
      </c>
      <c r="T8" s="700" t="s">
        <v>14</v>
      </c>
      <c r="U8" s="701">
        <f t="shared" si="1"/>
        <v>0</v>
      </c>
      <c r="V8" s="700" t="s">
        <v>14</v>
      </c>
      <c r="W8" s="701">
        <f t="shared" si="2"/>
        <v>0</v>
      </c>
      <c r="X8" s="702"/>
      <c r="Y8" s="3704"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63"/>
      <c r="Q10" s="1342" t="str">
        <f t="shared" si="6"/>
        <v>土地使用年限（年）</v>
      </c>
      <c r="R10" s="700" t="s">
        <v>14</v>
      </c>
      <c r="S10" s="701">
        <f t="shared" si="0"/>
        <v>111</v>
      </c>
      <c r="T10" s="700" t="s">
        <v>14</v>
      </c>
      <c r="U10" s="701">
        <f t="shared" si="1"/>
        <v>111</v>
      </c>
      <c r="V10" s="700" t="s">
        <v>14</v>
      </c>
      <c r="W10" s="701">
        <f t="shared" si="2"/>
        <v>111</v>
      </c>
      <c r="X10" s="702"/>
      <c r="Y10" s="3561"/>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1"/>
      <c r="Q16" s="1351"/>
      <c r="R16" s="704"/>
      <c r="S16" s="705"/>
      <c r="T16" s="704"/>
      <c r="U16" s="705"/>
      <c r="V16" s="704"/>
      <c r="W16" s="705"/>
      <c r="X16" s="1354"/>
      <c r="Y16" s="367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1" t="str">
        <f t="shared" ref="Q19:Q33" si="8">B19</f>
        <v>区域土地利用方向</v>
      </c>
      <c r="R19" s="704" t="s">
        <v>14</v>
      </c>
      <c r="S19" s="705">
        <f>F19</f>
        <v>100</v>
      </c>
      <c r="T19" s="704" t="s">
        <v>14</v>
      </c>
      <c r="U19" s="705">
        <f>H19</f>
        <v>100</v>
      </c>
      <c r="V19" s="704" t="s">
        <v>14</v>
      </c>
      <c r="W19" s="705">
        <f>J19</f>
        <v>100</v>
      </c>
      <c r="X19" s="1354"/>
      <c r="Y19" s="36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71"/>
      <c r="Q20" s="1351"/>
      <c r="R20" s="704"/>
      <c r="S20" s="705"/>
      <c r="T20" s="704"/>
      <c r="U20" s="705"/>
      <c r="V20" s="704"/>
      <c r="W20" s="705"/>
      <c r="X20" s="1354"/>
      <c r="Y20" s="367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1" t="str">
        <f t="shared" si="8"/>
        <v>环境状况</v>
      </c>
      <c r="R21" s="704" t="s">
        <v>14</v>
      </c>
      <c r="S21" s="705">
        <f>F21</f>
        <v>100</v>
      </c>
      <c r="T21" s="704" t="s">
        <v>14</v>
      </c>
      <c r="U21" s="705">
        <f>H21</f>
        <v>100</v>
      </c>
      <c r="V21" s="704" t="s">
        <v>14</v>
      </c>
      <c r="W21" s="705">
        <f>J21</f>
        <v>100</v>
      </c>
      <c r="X21" s="1354"/>
      <c r="Y21" s="36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1"/>
      <c r="Q22" s="1351"/>
      <c r="R22" s="704"/>
      <c r="S22" s="705"/>
      <c r="T22" s="704"/>
      <c r="U22" s="705"/>
      <c r="V22" s="704"/>
      <c r="W22" s="705"/>
      <c r="X22" s="1354"/>
      <c r="Y22" s="367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2" t="str">
        <f t="shared" si="8"/>
        <v>公共配套设施</v>
      </c>
      <c r="R23" s="700" t="s">
        <v>14</v>
      </c>
      <c r="S23" s="701">
        <f>F23</f>
        <v>100</v>
      </c>
      <c r="T23" s="700" t="s">
        <v>14</v>
      </c>
      <c r="U23" s="701">
        <f>H23</f>
        <v>100</v>
      </c>
      <c r="V23" s="700" t="s">
        <v>14</v>
      </c>
      <c r="W23" s="701">
        <f>J23</f>
        <v>100</v>
      </c>
      <c r="X23" s="702"/>
      <c r="Y23" s="367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1"/>
      <c r="Q24" s="1342"/>
      <c r="R24" s="700"/>
      <c r="S24" s="701"/>
      <c r="T24" s="700"/>
      <c r="U24" s="701"/>
      <c r="V24" s="700"/>
      <c r="W24" s="701"/>
      <c r="X24" s="702"/>
      <c r="Y24" s="3671"/>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2"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1"/>
      <c r="Q26" s="1342"/>
      <c r="R26" s="700"/>
      <c r="S26" s="701"/>
      <c r="T26" s="700"/>
      <c r="U26" s="701"/>
      <c r="V26" s="700"/>
      <c r="W26" s="701"/>
      <c r="X26" s="702"/>
      <c r="Y26" s="3671"/>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1" t="str">
        <f t="shared" si="8"/>
        <v>毗邻道路的类型与等级</v>
      </c>
      <c r="R28" s="704" t="s">
        <v>14</v>
      </c>
      <c r="S28" s="705">
        <f t="shared" si="10"/>
        <v>100</v>
      </c>
      <c r="T28" s="704" t="s">
        <v>14</v>
      </c>
      <c r="U28" s="705">
        <f t="shared" si="11"/>
        <v>100</v>
      </c>
      <c r="V28" s="704" t="s">
        <v>14</v>
      </c>
      <c r="W28" s="705">
        <f t="shared" si="12"/>
        <v>100</v>
      </c>
      <c r="X28" s="1354"/>
      <c r="Y28" s="36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1"/>
      <c r="Q29" s="1351"/>
      <c r="R29" s="704"/>
      <c r="S29" s="705"/>
      <c r="T29" s="704"/>
      <c r="U29" s="705"/>
      <c r="V29" s="704"/>
      <c r="W29" s="705"/>
      <c r="X29" s="1354"/>
      <c r="Y29" s="367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1" t="str">
        <f t="shared" si="8"/>
        <v>土地级别</v>
      </c>
      <c r="R30" s="704" t="s">
        <v>14</v>
      </c>
      <c r="S30" s="705">
        <f t="shared" si="10"/>
        <v>100</v>
      </c>
      <c r="T30" s="704" t="s">
        <v>14</v>
      </c>
      <c r="U30" s="705">
        <f t="shared" si="11"/>
        <v>100</v>
      </c>
      <c r="V30" s="704" t="s">
        <v>14</v>
      </c>
      <c r="W30" s="705">
        <f t="shared" si="12"/>
        <v>100</v>
      </c>
      <c r="X30" s="1354"/>
      <c r="Y30" s="367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4" t="s">
        <v>14</v>
      </c>
      <c r="S31" s="705">
        <f t="shared" si="10"/>
        <v>100</v>
      </c>
      <c r="T31" s="704" t="s">
        <v>14</v>
      </c>
      <c r="U31" s="705">
        <f t="shared" si="11"/>
        <v>100</v>
      </c>
      <c r="V31" s="704" t="s">
        <v>14</v>
      </c>
      <c r="W31" s="705">
        <f t="shared" si="12"/>
        <v>100</v>
      </c>
      <c r="X31" s="1354"/>
      <c r="Y31" s="367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4" t="s">
        <v>1696</v>
      </c>
      <c r="Q32" s="1351">
        <f t="shared" si="8"/>
        <v>111</v>
      </c>
      <c r="R32" s="704" t="s">
        <v>14</v>
      </c>
      <c r="S32" s="705">
        <f t="shared" si="10"/>
        <v>100</v>
      </c>
      <c r="T32" s="704" t="s">
        <v>14</v>
      </c>
      <c r="U32" s="705">
        <f t="shared" si="11"/>
        <v>100</v>
      </c>
      <c r="V32" s="704" t="s">
        <v>14</v>
      </c>
      <c r="W32" s="705">
        <f t="shared" si="12"/>
        <v>100</v>
      </c>
      <c r="X32" s="1354"/>
      <c r="Y32" s="367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5"/>
      <c r="Q33" s="1351">
        <f t="shared" si="8"/>
        <v>111</v>
      </c>
      <c r="R33" s="707" t="s">
        <v>14</v>
      </c>
      <c r="S33" s="708">
        <f t="shared" si="10"/>
        <v>100</v>
      </c>
      <c r="T33" s="707" t="s">
        <v>14</v>
      </c>
      <c r="U33" s="708">
        <f t="shared" si="11"/>
        <v>100</v>
      </c>
      <c r="V33" s="707" t="s">
        <v>14</v>
      </c>
      <c r="W33" s="708">
        <f t="shared" si="12"/>
        <v>100</v>
      </c>
      <c r="X33" s="709"/>
      <c r="Y33" s="3675"/>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5"/>
      <c r="Q34" s="1351" t="str">
        <f>B34</f>
        <v>宗地面积</v>
      </c>
      <c r="R34" s="704" t="s">
        <v>14</v>
      </c>
      <c r="S34" s="705" t="e">
        <f t="shared" si="10"/>
        <v>#N/A</v>
      </c>
      <c r="T34" s="704" t="s">
        <v>14</v>
      </c>
      <c r="U34" s="705" t="e">
        <f t="shared" si="11"/>
        <v>#N/A</v>
      </c>
      <c r="V34" s="704" t="s">
        <v>14</v>
      </c>
      <c r="W34" s="705"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5"/>
      <c r="Q35" s="1351" t="str">
        <f t="shared" ref="Q35:Q40" si="14">B35</f>
        <v>宗地形状</v>
      </c>
      <c r="R35" s="704" t="s">
        <v>14</v>
      </c>
      <c r="S35" s="705">
        <f t="shared" si="10"/>
        <v>100</v>
      </c>
      <c r="T35" s="704" t="s">
        <v>14</v>
      </c>
      <c r="U35" s="705">
        <f t="shared" si="11"/>
        <v>100</v>
      </c>
      <c r="V35" s="704" t="s">
        <v>14</v>
      </c>
      <c r="W35" s="705">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5"/>
      <c r="Q36" s="1351"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5" t="s">
        <v>1696</v>
      </c>
      <c r="Q37" s="1351" t="str">
        <f t="shared" si="14"/>
        <v>工程地质条件</v>
      </c>
      <c r="R37" s="704" t="s">
        <v>14</v>
      </c>
      <c r="S37" s="705">
        <f t="shared" si="10"/>
        <v>100</v>
      </c>
      <c r="T37" s="704" t="s">
        <v>14</v>
      </c>
      <c r="U37" s="705">
        <f t="shared" si="11"/>
        <v>100</v>
      </c>
      <c r="V37" s="704" t="s">
        <v>14</v>
      </c>
      <c r="W37" s="705">
        <f t="shared" si="12"/>
        <v>100</v>
      </c>
      <c r="X37" s="1354"/>
      <c r="Y37" s="367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5"/>
      <c r="Q38" s="1351">
        <f t="shared" si="14"/>
        <v>111</v>
      </c>
      <c r="R38" s="704" t="s">
        <v>14</v>
      </c>
      <c r="S38" s="705">
        <f t="shared" si="10"/>
        <v>100</v>
      </c>
      <c r="T38" s="704" t="s">
        <v>14</v>
      </c>
      <c r="U38" s="705">
        <f t="shared" si="11"/>
        <v>100</v>
      </c>
      <c r="V38" s="704" t="s">
        <v>14</v>
      </c>
      <c r="W38" s="705">
        <f t="shared" si="12"/>
        <v>100</v>
      </c>
      <c r="X38" s="1354"/>
      <c r="Y38" s="367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5"/>
      <c r="Q39" s="1351">
        <f t="shared" si="14"/>
        <v>111</v>
      </c>
      <c r="R39" s="704" t="s">
        <v>14</v>
      </c>
      <c r="S39" s="705">
        <f t="shared" si="10"/>
        <v>100</v>
      </c>
      <c r="T39" s="704" t="s">
        <v>14</v>
      </c>
      <c r="U39" s="705">
        <f t="shared" si="11"/>
        <v>100</v>
      </c>
      <c r="V39" s="704" t="s">
        <v>14</v>
      </c>
      <c r="W39" s="705">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5"/>
      <c r="Q40" s="1351">
        <f t="shared" si="14"/>
        <v>111</v>
      </c>
      <c r="R40" s="707" t="s">
        <v>14</v>
      </c>
      <c r="S40" s="708">
        <f t="shared" si="10"/>
        <v>100</v>
      </c>
      <c r="T40" s="707" t="s">
        <v>14</v>
      </c>
      <c r="U40" s="708">
        <f t="shared" si="11"/>
        <v>100</v>
      </c>
      <c r="V40" s="707" t="s">
        <v>14</v>
      </c>
      <c r="W40" s="708">
        <f t="shared" si="12"/>
        <v>100</v>
      </c>
      <c r="X40" s="709"/>
      <c r="Y40" s="3675"/>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63" t="str">
        <f>A41</f>
        <v>成交单价</v>
      </c>
      <c r="Q41" s="3663"/>
      <c r="R41" s="3697">
        <f>E41</f>
        <v>0</v>
      </c>
      <c r="S41" s="3697"/>
      <c r="T41" s="3697">
        <f>G41</f>
        <v>0</v>
      </c>
      <c r="U41" s="3697"/>
      <c r="V41" s="3697">
        <f>I41</f>
        <v>0</v>
      </c>
      <c r="W41" s="369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63" t="str">
        <f>A42</f>
        <v>比较价值（元/平方米）</v>
      </c>
      <c r="Q42" s="3663"/>
      <c r="R42" s="3746" t="e">
        <f>ROUND(PRODUCT(R41,AA7:AA40),0)</f>
        <v>#DIV/0!</v>
      </c>
      <c r="S42" s="3746"/>
      <c r="T42" s="3746" t="e">
        <f>ROUND(PRODUCT(T41,AB7:AB40),0)</f>
        <v>#DIV/0!</v>
      </c>
      <c r="U42" s="3746"/>
      <c r="V42" s="3746" t="e">
        <f>ROUND(PRODUCT(V41,AC7:AC40),0)</f>
        <v>#DIV/0!</v>
      </c>
      <c r="W42" s="374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34" t="str">
        <f>A43</f>
        <v>估价对象XX用房的比较价值（楼面单价，元/平方米）</v>
      </c>
      <c r="Q43" s="3735"/>
      <c r="R43" s="3747" t="e">
        <f>ROUND(IF(D42="简单平均",AVERAGE(R42:W42),R42*F42+T42*H42+V42*J42),0)</f>
        <v>#DIV/0!</v>
      </c>
      <c r="S43" s="3747"/>
      <c r="T43" s="3747"/>
      <c r="U43" s="3747"/>
      <c r="V43" s="3747"/>
      <c r="W43" s="374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0" t="s">
        <v>1887</v>
      </c>
      <c r="H50" s="374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229.53</v>
      </c>
      <c r="F51" s="639" t="e">
        <f t="shared" ref="F51:F60" si="15">ROUND(B51*E51/10000,0)</f>
        <v>#DIV/0!</v>
      </c>
      <c r="G51" s="3662"/>
      <c r="H51" s="366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4" sqref="E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6" t="s">
        <v>2084</v>
      </c>
      <c r="D1" s="3757"/>
      <c r="E1" s="3757"/>
      <c r="F1" s="3757"/>
      <c r="G1" s="3757"/>
      <c r="H1" s="3757"/>
      <c r="I1" s="3757"/>
      <c r="J1" s="3757"/>
      <c r="K1" s="3757"/>
      <c r="L1" s="3757"/>
      <c r="M1" s="3757"/>
      <c r="N1" s="3757"/>
      <c r="O1" s="3757"/>
      <c r="P1" s="3757"/>
      <c r="Q1" s="3757"/>
      <c r="R1" s="3757"/>
      <c r="S1" s="3758"/>
      <c r="T1" s="982" t="s">
        <v>2085</v>
      </c>
    </row>
    <row r="2" spans="1:45" s="655" customFormat="1">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v>100</v>
      </c>
      <c r="E3" s="657">
        <v>200</v>
      </c>
      <c r="F3" s="657">
        <f>'比较法-办公'!F104</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'比较法-办公'!C105</f>
        <v>100</v>
      </c>
      <c r="D4" s="657">
        <v>99</v>
      </c>
      <c r="E4" s="657">
        <f>'比较法-办公'!E105</f>
        <v>98</v>
      </c>
      <c r="F4" s="657">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4795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29202</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1642.01</v>
      </c>
      <c r="C22" s="3753" t="s">
        <v>27</v>
      </c>
      <c r="D22" s="3754"/>
      <c r="E22" s="3754"/>
      <c r="F22" s="3754"/>
      <c r="G22" s="3754"/>
      <c r="H22" s="3754"/>
      <c r="I22" s="3754"/>
      <c r="J22" s="3754"/>
      <c r="K22" s="3754"/>
      <c r="L22" s="3754"/>
      <c r="M22" s="3754"/>
      <c r="N22" s="3754"/>
      <c r="O22" s="3754"/>
      <c r="P22" s="3754"/>
      <c r="Q22" s="3755"/>
      <c r="R22" s="662">
        <f ca="1">ROUND(S22*10000/B22,0)</f>
        <v>29202</v>
      </c>
      <c r="S22" s="21">
        <f ca="1">SUM(S24:S10000)</f>
        <v>4795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面积清单!B3</f>
        <v>901</v>
      </c>
      <c r="B24" s="664">
        <f>面积清单!C3</f>
        <v>229.53</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28807</v>
      </c>
      <c r="S24" s="665">
        <f t="shared" ref="S24:S54" ca="1" si="11">ROUND(R24*B24/10000,0)</f>
        <v>661</v>
      </c>
      <c r="T24" s="729">
        <f ca="1">ROUND(R24*B24/10000,2)</f>
        <v>661.21</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面积清单!B4</f>
        <v>902</v>
      </c>
      <c r="B25" s="664">
        <f>面积清单!C4</f>
        <v>89.91</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29383</v>
      </c>
      <c r="S25" s="316">
        <f t="shared" ca="1" si="11"/>
        <v>264</v>
      </c>
      <c r="T25" s="729">
        <f t="shared" ref="T25:T39" ca="1" si="12">ROUND(R25*B25/10000,2)</f>
        <v>264.18</v>
      </c>
    </row>
    <row r="26" spans="1:45">
      <c r="A26" s="664">
        <f>面积清单!B5</f>
        <v>903</v>
      </c>
      <c r="B26" s="664">
        <f>面积清单!C5</f>
        <v>111.32</v>
      </c>
      <c r="C26" s="21">
        <f t="shared" ref="C26:C89" si="13">IF(B26="",1,(LOOKUP(B26,$3:$3,$4:$4)-LOOKUP($B$24,$3:$3,$4:$4)+100)/100)</f>
        <v>1.01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29095</v>
      </c>
      <c r="S26" s="316">
        <f t="shared" ca="1" si="11"/>
        <v>324</v>
      </c>
      <c r="T26" s="729">
        <f t="shared" ca="1" si="12"/>
        <v>323.89</v>
      </c>
    </row>
    <row r="27" spans="1:45">
      <c r="A27" s="664">
        <f>面积清单!B6</f>
        <v>904</v>
      </c>
      <c r="B27" s="664">
        <f>面积清单!C6</f>
        <v>92.76</v>
      </c>
      <c r="C27" s="21">
        <f t="shared" si="13"/>
        <v>1.02</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29383</v>
      </c>
      <c r="S27" s="316">
        <f t="shared" ca="1" si="11"/>
        <v>273</v>
      </c>
      <c r="T27" s="729">
        <f t="shared" ca="1" si="12"/>
        <v>272.56</v>
      </c>
    </row>
    <row r="28" spans="1:45">
      <c r="A28" s="664">
        <f>面积清单!B7</f>
        <v>905</v>
      </c>
      <c r="B28" s="664">
        <f>面积清单!C7</f>
        <v>111.44</v>
      </c>
      <c r="C28" s="21">
        <f t="shared" si="13"/>
        <v>1.01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29095</v>
      </c>
      <c r="S28" s="316">
        <f t="shared" ca="1" si="11"/>
        <v>324</v>
      </c>
      <c r="T28" s="729">
        <f t="shared" ca="1" si="12"/>
        <v>324.23</v>
      </c>
    </row>
    <row r="29" spans="1:45">
      <c r="A29" s="664">
        <f>面积清单!B8</f>
        <v>906</v>
      </c>
      <c r="B29" s="664">
        <f>面积清单!C8</f>
        <v>91.17</v>
      </c>
      <c r="C29" s="21">
        <f t="shared" si="13"/>
        <v>1.02</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29383</v>
      </c>
      <c r="S29" s="316">
        <f t="shared" ca="1" si="11"/>
        <v>268</v>
      </c>
      <c r="T29" s="729">
        <f t="shared" ca="1" si="12"/>
        <v>267.88</v>
      </c>
    </row>
    <row r="30" spans="1:45">
      <c r="A30" s="664">
        <f>面积清单!B9</f>
        <v>907</v>
      </c>
      <c r="B30" s="664">
        <f>面积清单!C9</f>
        <v>111.05</v>
      </c>
      <c r="C30" s="21">
        <f t="shared" si="13"/>
        <v>1.01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29095</v>
      </c>
      <c r="S30" s="316">
        <f t="shared" ca="1" si="11"/>
        <v>323</v>
      </c>
      <c r="T30" s="729">
        <f t="shared" ca="1" si="12"/>
        <v>323.10000000000002</v>
      </c>
    </row>
    <row r="31" spans="1:45">
      <c r="A31" s="664">
        <f>面积清单!B10</f>
        <v>908</v>
      </c>
      <c r="B31" s="664">
        <f>面积清单!C10</f>
        <v>91.97</v>
      </c>
      <c r="C31" s="21">
        <f t="shared" si="13"/>
        <v>1.02</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29383</v>
      </c>
      <c r="S31" s="316">
        <f t="shared" ca="1" si="11"/>
        <v>270</v>
      </c>
      <c r="T31" s="729">
        <f t="shared" ca="1" si="12"/>
        <v>270.24</v>
      </c>
    </row>
    <row r="32" spans="1:45">
      <c r="A32" s="664">
        <f>面积清单!B11</f>
        <v>909</v>
      </c>
      <c r="B32" s="664">
        <f>面积清单!C11</f>
        <v>113.63</v>
      </c>
      <c r="C32" s="21">
        <f t="shared" si="13"/>
        <v>1.01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29095</v>
      </c>
      <c r="S32" s="316">
        <f t="shared" ca="1" si="11"/>
        <v>331</v>
      </c>
      <c r="T32" s="729">
        <f t="shared" ca="1" si="12"/>
        <v>330.61</v>
      </c>
    </row>
    <row r="33" spans="1:20">
      <c r="A33" s="664">
        <f>面积清单!B12</f>
        <v>910</v>
      </c>
      <c r="B33" s="664">
        <f>面积清单!C12</f>
        <v>91.97</v>
      </c>
      <c r="C33" s="21">
        <f t="shared" si="13"/>
        <v>1.02</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ca="1" si="21"/>
        <v>29383</v>
      </c>
      <c r="S33" s="316">
        <f t="shared" ca="1" si="11"/>
        <v>270</v>
      </c>
      <c r="T33" s="729">
        <f t="shared" ca="1" si="12"/>
        <v>270.24</v>
      </c>
    </row>
    <row r="34" spans="1:20">
      <c r="A34" s="664">
        <f>面积清单!B13</f>
        <v>911</v>
      </c>
      <c r="B34" s="664">
        <f>面积清单!C13</f>
        <v>104.95</v>
      </c>
      <c r="C34" s="21">
        <f t="shared" si="13"/>
        <v>1.01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ca="1" si="21"/>
        <v>29095</v>
      </c>
      <c r="S34" s="316">
        <f t="shared" ca="1" si="11"/>
        <v>305</v>
      </c>
      <c r="T34" s="729">
        <f t="shared" ca="1" si="12"/>
        <v>305.35000000000002</v>
      </c>
    </row>
    <row r="35" spans="1:20">
      <c r="A35" s="664">
        <f>面积清单!B14</f>
        <v>912</v>
      </c>
      <c r="B35" s="664">
        <f>面积清单!C14</f>
        <v>88.79</v>
      </c>
      <c r="C35" s="21">
        <f t="shared" si="13"/>
        <v>1.02</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ca="1" si="21"/>
        <v>29383</v>
      </c>
      <c r="S35" s="316">
        <f t="shared" ca="1" si="11"/>
        <v>261</v>
      </c>
      <c r="T35" s="729">
        <f t="shared" ca="1" si="12"/>
        <v>260.89</v>
      </c>
    </row>
    <row r="36" spans="1:20">
      <c r="A36" s="664">
        <f>面积清单!B15</f>
        <v>913</v>
      </c>
      <c r="B36" s="664">
        <f>面积清单!C15</f>
        <v>84.75</v>
      </c>
      <c r="C36" s="21">
        <f t="shared" si="13"/>
        <v>1.02</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ca="1" si="21"/>
        <v>29383</v>
      </c>
      <c r="S36" s="316">
        <f t="shared" ca="1" si="11"/>
        <v>249</v>
      </c>
      <c r="T36" s="729">
        <f t="shared" ca="1" si="12"/>
        <v>249.02</v>
      </c>
    </row>
    <row r="37" spans="1:20">
      <c r="A37" s="664">
        <f>面积清单!B16</f>
        <v>914</v>
      </c>
      <c r="B37" s="664">
        <f>面积清单!C16</f>
        <v>77.17</v>
      </c>
      <c r="C37" s="21">
        <f t="shared" si="13"/>
        <v>1.02</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ca="1" si="21"/>
        <v>29383</v>
      </c>
      <c r="S37" s="316">
        <f t="shared" ca="1" si="11"/>
        <v>227</v>
      </c>
      <c r="T37" s="729">
        <f t="shared" ca="1" si="12"/>
        <v>226.75</v>
      </c>
    </row>
    <row r="38" spans="1:20">
      <c r="A38" s="664">
        <f>面积清单!B17</f>
        <v>915</v>
      </c>
      <c r="B38" s="664">
        <f>面积清单!C17</f>
        <v>84.11</v>
      </c>
      <c r="C38" s="21">
        <f t="shared" si="13"/>
        <v>1.02</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ca="1" si="21"/>
        <v>29383</v>
      </c>
      <c r="S38" s="316">
        <f t="shared" ca="1" si="11"/>
        <v>247</v>
      </c>
      <c r="T38" s="729">
        <f t="shared" ca="1" si="12"/>
        <v>247.14</v>
      </c>
    </row>
    <row r="39" spans="1:20">
      <c r="A39" s="664">
        <f>面积清单!B18</f>
        <v>916</v>
      </c>
      <c r="B39" s="664">
        <f>面积清单!C18</f>
        <v>67.489999999999995</v>
      </c>
      <c r="C39" s="21">
        <f t="shared" si="13"/>
        <v>1.02</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ca="1" si="21"/>
        <v>29383</v>
      </c>
      <c r="S39" s="316">
        <f t="shared" ca="1" si="11"/>
        <v>198</v>
      </c>
      <c r="T39" s="729">
        <f t="shared" ca="1" si="12"/>
        <v>198.31</v>
      </c>
    </row>
    <row r="40" spans="1:20">
      <c r="A40" s="664"/>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20">
      <c r="A41" s="664"/>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20">
      <c r="A42" s="664"/>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20">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20">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20">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20">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20">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20">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5"/>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5"/>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0" t="s">
        <v>3262</v>
      </c>
      <c r="B20" s="167" t="s">
        <v>1994</v>
      </c>
      <c r="C20" s="3325" t="e">
        <f>ROUND(IF(F21="与级别开发程度一致",0,(G21-E21)/C21),0)</f>
        <v>#DIV/0!</v>
      </c>
      <c r="D20" s="3341" t="s">
        <v>1998</v>
      </c>
      <c r="E20" s="3342"/>
      <c r="F20" s="3776" t="s">
        <v>1995</v>
      </c>
      <c r="G20" s="3777"/>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44930</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5"/>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2" t="s">
        <v>3302</v>
      </c>
      <c r="B103" s="3772"/>
      <c r="C103" s="3772"/>
      <c r="D103" s="3772"/>
      <c r="E103" s="3772"/>
      <c r="F103" s="3772"/>
      <c r="G103" s="3772"/>
      <c r="H103" s="3772"/>
      <c r="I103" s="3772"/>
      <c r="J103" s="3772"/>
      <c r="K103" s="3391"/>
      <c r="L103" s="3391"/>
      <c r="M103" s="3391"/>
      <c r="N103" s="3391"/>
    </row>
    <row r="104" spans="1:14">
      <c r="A104" s="3773" t="s">
        <v>3303</v>
      </c>
      <c r="B104" s="3773" t="s">
        <v>3304</v>
      </c>
      <c r="C104" s="3392" t="s">
        <v>3305</v>
      </c>
      <c r="D104" s="3393"/>
      <c r="E104" s="3393"/>
      <c r="F104" s="3393"/>
      <c r="G104" s="3393"/>
      <c r="H104" s="3393"/>
      <c r="I104" s="3393"/>
      <c r="J104" s="3394"/>
      <c r="K104" s="3395"/>
      <c r="L104" s="3395"/>
      <c r="M104" s="3395"/>
      <c r="N104" s="3395"/>
    </row>
    <row r="105" spans="1:14">
      <c r="A105" s="3773"/>
      <c r="B105" s="3773"/>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9"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60"/>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60"/>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60"/>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60"/>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60"/>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61"/>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2" t="s">
        <v>3319</v>
      </c>
      <c r="B113" s="3762"/>
      <c r="C113" s="3762"/>
      <c r="D113" s="3762"/>
      <c r="E113" s="3762"/>
      <c r="F113" s="3762"/>
      <c r="G113" s="3762"/>
      <c r="H113" s="3762"/>
      <c r="I113" s="3762"/>
      <c r="J113" s="3762"/>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7" t="s">
        <v>2609</v>
      </c>
      <c r="B20" s="3782" t="s">
        <v>2630</v>
      </c>
      <c r="C20" s="3102" t="s">
        <v>2441</v>
      </c>
      <c r="D20" s="3103"/>
      <c r="E20" s="3104">
        <v>1</v>
      </c>
      <c r="F20" s="3105" t="s">
        <v>2442</v>
      </c>
      <c r="G20" s="3105"/>
    </row>
    <row r="21" spans="1:13" ht="19.5" customHeight="1">
      <c r="A21" s="3788"/>
      <c r="B21" s="3781"/>
      <c r="C21" s="3106" t="s">
        <v>2443</v>
      </c>
      <c r="D21" s="3107"/>
      <c r="E21" s="3108">
        <v>1</v>
      </c>
      <c r="F21" s="3105" t="s">
        <v>2444</v>
      </c>
      <c r="G21" s="3105"/>
    </row>
    <row r="22" spans="1:13" ht="19.5" customHeight="1">
      <c r="A22" s="3788"/>
      <c r="B22" s="3781"/>
      <c r="C22" s="3106" t="s">
        <v>2445</v>
      </c>
      <c r="D22" s="3107"/>
      <c r="E22" s="3108">
        <v>0.9</v>
      </c>
      <c r="F22" s="3105" t="s">
        <v>2446</v>
      </c>
      <c r="G22" s="3105"/>
    </row>
    <row r="23" spans="1:13" ht="19.5" customHeight="1">
      <c r="A23" s="3788"/>
      <c r="B23" s="3781"/>
      <c r="C23" s="3106" t="s">
        <v>2447</v>
      </c>
      <c r="D23" s="3107"/>
      <c r="E23" s="3108">
        <v>0.9</v>
      </c>
      <c r="F23" s="3105" t="s">
        <v>2448</v>
      </c>
      <c r="G23" s="3105"/>
    </row>
    <row r="24" spans="1:13" ht="19.5" customHeight="1">
      <c r="A24" s="3788"/>
      <c r="B24" s="3781"/>
      <c r="C24" s="3106" t="s">
        <v>2449</v>
      </c>
      <c r="D24" s="3107"/>
      <c r="E24" s="3108">
        <v>0.8</v>
      </c>
      <c r="F24" s="3105" t="s">
        <v>2450</v>
      </c>
      <c r="G24" s="3105"/>
    </row>
    <row r="25" spans="1:13" ht="19.5" customHeight="1" thickBot="1">
      <c r="A25" s="3789"/>
      <c r="B25" s="378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4" t="s">
        <v>2633</v>
      </c>
      <c r="B27" s="3782" t="s">
        <v>2614</v>
      </c>
      <c r="C27" s="3102" t="s">
        <v>2454</v>
      </c>
      <c r="D27" s="3103"/>
      <c r="E27" s="3104">
        <v>1</v>
      </c>
      <c r="F27" s="3105" t="s">
        <v>2455</v>
      </c>
      <c r="G27" s="3105"/>
    </row>
    <row r="28" spans="1:13" ht="19.5" customHeight="1">
      <c r="A28" s="3785"/>
      <c r="B28" s="3781"/>
      <c r="C28" s="3106" t="s">
        <v>2456</v>
      </c>
      <c r="D28" s="3107"/>
      <c r="E28" s="3108">
        <v>1</v>
      </c>
      <c r="F28" s="3105" t="s">
        <v>2457</v>
      </c>
      <c r="G28" s="3105"/>
    </row>
    <row r="29" spans="1:13" ht="19.5" customHeight="1">
      <c r="A29" s="3785"/>
      <c r="B29" s="3781"/>
      <c r="C29" s="3106" t="s">
        <v>2458</v>
      </c>
      <c r="D29" s="3107"/>
      <c r="E29" s="3108">
        <v>0.8</v>
      </c>
      <c r="F29" s="3105" t="s">
        <v>2459</v>
      </c>
      <c r="G29" s="3105"/>
    </row>
    <row r="30" spans="1:13" ht="19.5" customHeight="1">
      <c r="A30" s="3785"/>
      <c r="B30" s="3781"/>
      <c r="C30" s="3106" t="s">
        <v>2460</v>
      </c>
      <c r="D30" s="3107"/>
      <c r="E30" s="3108">
        <v>0.8</v>
      </c>
      <c r="F30" s="3105" t="s">
        <v>2461</v>
      </c>
      <c r="G30" s="3105"/>
    </row>
    <row r="31" spans="1:13" ht="19.5" customHeight="1">
      <c r="A31" s="3785"/>
      <c r="B31" s="3781"/>
      <c r="C31" s="3106" t="s">
        <v>2462</v>
      </c>
      <c r="D31" s="3107"/>
      <c r="E31" s="3108">
        <v>0.8</v>
      </c>
      <c r="F31" s="3105" t="s">
        <v>2463</v>
      </c>
      <c r="G31" s="3105"/>
    </row>
    <row r="32" spans="1:13" ht="19.5" customHeight="1">
      <c r="A32" s="3785"/>
      <c r="B32" s="3781"/>
      <c r="C32" s="3106" t="s">
        <v>2464</v>
      </c>
      <c r="D32" s="3107"/>
      <c r="E32" s="3108">
        <v>0.7</v>
      </c>
      <c r="F32" s="3105" t="s">
        <v>2465</v>
      </c>
      <c r="G32" s="3105"/>
    </row>
    <row r="33" spans="1:7" ht="19.5" customHeight="1">
      <c r="A33" s="3785"/>
      <c r="B33" s="3781"/>
      <c r="C33" s="3106" t="s">
        <v>2466</v>
      </c>
      <c r="D33" s="3107"/>
      <c r="E33" s="3108">
        <v>0.8</v>
      </c>
      <c r="F33" s="3105" t="s">
        <v>2467</v>
      </c>
      <c r="G33" s="3105"/>
    </row>
    <row r="34" spans="1:7" ht="19.5" customHeight="1">
      <c r="A34" s="3785"/>
      <c r="B34" s="3781"/>
      <c r="C34" s="3106" t="s">
        <v>2468</v>
      </c>
      <c r="D34" s="3107"/>
      <c r="E34" s="3108">
        <v>0.6</v>
      </c>
      <c r="F34" s="3105" t="s">
        <v>2469</v>
      </c>
      <c r="G34" s="3105"/>
    </row>
    <row r="35" spans="1:7" ht="19.5" customHeight="1">
      <c r="A35" s="3785"/>
      <c r="B35" s="3781"/>
      <c r="C35" s="3106" t="s">
        <v>2470</v>
      </c>
      <c r="D35" s="3107"/>
      <c r="E35" s="3108">
        <v>0.2</v>
      </c>
      <c r="F35" s="3105" t="s">
        <v>2471</v>
      </c>
      <c r="G35" s="3105"/>
    </row>
    <row r="36" spans="1:7" ht="19.5" customHeight="1">
      <c r="A36" s="3785"/>
      <c r="B36" s="3781"/>
      <c r="C36" s="3106" t="s">
        <v>2472</v>
      </c>
      <c r="D36" s="3107"/>
      <c r="E36" s="3108">
        <v>0.2</v>
      </c>
      <c r="F36" s="3105" t="s">
        <v>2473</v>
      </c>
      <c r="G36" s="3105"/>
    </row>
    <row r="37" spans="1:7" ht="19.5" customHeight="1">
      <c r="A37" s="3785"/>
      <c r="B37" s="3779" t="s">
        <v>2634</v>
      </c>
      <c r="C37" s="3106" t="s">
        <v>2474</v>
      </c>
      <c r="D37" s="3107"/>
      <c r="E37" s="3108">
        <v>0.6</v>
      </c>
      <c r="F37" s="3105" t="s">
        <v>2475</v>
      </c>
      <c r="G37" s="3105"/>
    </row>
    <row r="38" spans="1:7" ht="19.5" customHeight="1">
      <c r="A38" s="3785"/>
      <c r="B38" s="3781"/>
      <c r="C38" s="3106" t="s">
        <v>2476</v>
      </c>
      <c r="D38" s="3107"/>
      <c r="E38" s="3108">
        <v>0.6</v>
      </c>
      <c r="F38" s="3105" t="s">
        <v>2477</v>
      </c>
      <c r="G38" s="3105"/>
    </row>
    <row r="39" spans="1:7" ht="19.5" customHeight="1" thickBot="1">
      <c r="A39" s="3786"/>
      <c r="B39" s="378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7" t="s">
        <v>2612</v>
      </c>
      <c r="B41" s="3782" t="s">
        <v>2636</v>
      </c>
      <c r="C41" s="3102" t="s">
        <v>2481</v>
      </c>
      <c r="D41" s="3103"/>
      <c r="E41" s="3104">
        <v>1</v>
      </c>
      <c r="F41" s="3105" t="s">
        <v>2482</v>
      </c>
      <c r="G41" s="3105"/>
    </row>
    <row r="42" spans="1:7" ht="19.5" customHeight="1">
      <c r="A42" s="3788"/>
      <c r="B42" s="3781"/>
      <c r="C42" s="3106" t="s">
        <v>2483</v>
      </c>
      <c r="D42" s="3107"/>
      <c r="E42" s="3108">
        <v>1</v>
      </c>
      <c r="F42" s="3105" t="s">
        <v>2484</v>
      </c>
      <c r="G42" s="3105"/>
    </row>
    <row r="43" spans="1:7" ht="19.5" customHeight="1">
      <c r="A43" s="3788"/>
      <c r="B43" s="3780"/>
      <c r="C43" s="3106" t="s">
        <v>2485</v>
      </c>
      <c r="D43" s="3107"/>
      <c r="E43" s="3108">
        <v>1.5</v>
      </c>
      <c r="F43" s="3105" t="s">
        <v>2486</v>
      </c>
      <c r="G43" s="3105"/>
    </row>
    <row r="44" spans="1:7" ht="19.5" customHeight="1">
      <c r="A44" s="3788"/>
      <c r="B44" s="3117" t="s">
        <v>2637</v>
      </c>
      <c r="C44" s="3106" t="s">
        <v>2638</v>
      </c>
      <c r="D44" s="3107"/>
      <c r="E44" s="3108">
        <v>2</v>
      </c>
      <c r="F44" s="3105" t="s">
        <v>2487</v>
      </c>
      <c r="G44" s="3105"/>
    </row>
    <row r="45" spans="1:7" ht="19.5" customHeight="1">
      <c r="A45" s="3788"/>
      <c r="B45" s="3779" t="s">
        <v>2639</v>
      </c>
      <c r="C45" s="3106" t="s">
        <v>2488</v>
      </c>
      <c r="D45" s="3107"/>
      <c r="E45" s="3108">
        <v>1</v>
      </c>
      <c r="F45" s="3105" t="s">
        <v>2489</v>
      </c>
      <c r="G45" s="3105"/>
    </row>
    <row r="46" spans="1:7" ht="19.5" customHeight="1">
      <c r="A46" s="3788"/>
      <c r="B46" s="3781"/>
      <c r="C46" s="3106" t="s">
        <v>2490</v>
      </c>
      <c r="D46" s="3107"/>
      <c r="E46" s="3108">
        <v>1</v>
      </c>
      <c r="F46" s="3105" t="s">
        <v>2491</v>
      </c>
      <c r="G46" s="3105"/>
    </row>
    <row r="47" spans="1:7" ht="19.5" customHeight="1">
      <c r="A47" s="3788"/>
      <c r="B47" s="3781"/>
      <c r="C47" s="3106" t="s">
        <v>2492</v>
      </c>
      <c r="D47" s="3107"/>
      <c r="E47" s="3108">
        <v>1</v>
      </c>
      <c r="F47" s="3105" t="s">
        <v>2493</v>
      </c>
      <c r="G47" s="3105"/>
    </row>
    <row r="48" spans="1:7" ht="19.5" customHeight="1">
      <c r="A48" s="3788"/>
      <c r="B48" s="3781"/>
      <c r="C48" s="3106" t="s">
        <v>2494</v>
      </c>
      <c r="D48" s="3107"/>
      <c r="E48" s="3108">
        <v>1</v>
      </c>
      <c r="F48" s="3105" t="s">
        <v>2495</v>
      </c>
      <c r="G48" s="3105"/>
    </row>
    <row r="49" spans="1:7" ht="19.5" customHeight="1">
      <c r="A49" s="3788"/>
      <c r="B49" s="3781"/>
      <c r="C49" s="3106" t="s">
        <v>2496</v>
      </c>
      <c r="D49" s="3107"/>
      <c r="E49" s="3108">
        <v>1</v>
      </c>
      <c r="F49" s="3105" t="s">
        <v>2497</v>
      </c>
      <c r="G49" s="3105"/>
    </row>
    <row r="50" spans="1:7" ht="19.5" customHeight="1">
      <c r="A50" s="3788"/>
      <c r="B50" s="3781"/>
      <c r="C50" s="3106" t="s">
        <v>2498</v>
      </c>
      <c r="D50" s="3107"/>
      <c r="E50" s="3108">
        <v>1</v>
      </c>
      <c r="F50" s="3105" t="s">
        <v>2499</v>
      </c>
      <c r="G50" s="3105"/>
    </row>
    <row r="51" spans="1:7" ht="19.5" customHeight="1" thickBot="1">
      <c r="A51" s="3789"/>
      <c r="B51" s="378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9" t="s">
        <v>2653</v>
      </c>
      <c r="C73" s="3091" t="s">
        <v>2654</v>
      </c>
      <c r="D73" s="3091" t="s">
        <v>2655</v>
      </c>
      <c r="E73" s="3117">
        <v>0.2</v>
      </c>
      <c r="F73" s="3117">
        <v>25</v>
      </c>
    </row>
    <row r="74" spans="1:7" ht="24">
      <c r="A74" s="3117">
        <v>2</v>
      </c>
      <c r="B74" s="3781"/>
      <c r="C74" s="3091" t="s">
        <v>2656</v>
      </c>
      <c r="D74" s="3091" t="s">
        <v>2657</v>
      </c>
      <c r="E74" s="3117">
        <v>0.2</v>
      </c>
      <c r="F74" s="3117">
        <v>25</v>
      </c>
    </row>
    <row r="75" spans="1:7" ht="24">
      <c r="A75" s="3117">
        <v>3</v>
      </c>
      <c r="B75" s="3781"/>
      <c r="C75" s="3091" t="s">
        <v>2658</v>
      </c>
      <c r="D75" s="3091" t="s">
        <v>2659</v>
      </c>
      <c r="E75" s="3117">
        <v>0.2</v>
      </c>
      <c r="F75" s="3117">
        <v>25</v>
      </c>
    </row>
    <row r="76" spans="1:7" ht="13.5">
      <c r="A76" s="3117">
        <v>4</v>
      </c>
      <c r="B76" s="3781"/>
      <c r="C76" s="3091" t="s">
        <v>2660</v>
      </c>
      <c r="D76" s="3091" t="s">
        <v>2661</v>
      </c>
      <c r="E76" s="3117">
        <v>0.15</v>
      </c>
      <c r="F76" s="3117">
        <v>20</v>
      </c>
    </row>
    <row r="77" spans="1:7" ht="24">
      <c r="A77" s="3117">
        <v>5</v>
      </c>
      <c r="B77" s="3781"/>
      <c r="C77" s="3091" t="s">
        <v>2662</v>
      </c>
      <c r="D77" s="3091" t="s">
        <v>2663</v>
      </c>
      <c r="E77" s="3117">
        <v>0.15</v>
      </c>
      <c r="F77" s="3117">
        <v>20</v>
      </c>
    </row>
    <row r="78" spans="1:7" ht="24">
      <c r="A78" s="3117">
        <v>6</v>
      </c>
      <c r="B78" s="3781"/>
      <c r="C78" s="3091" t="s">
        <v>2664</v>
      </c>
      <c r="D78" s="3091" t="s">
        <v>2665</v>
      </c>
      <c r="E78" s="3117">
        <v>0.15</v>
      </c>
      <c r="F78" s="3117">
        <v>20</v>
      </c>
    </row>
    <row r="79" spans="1:7" ht="24">
      <c r="A79" s="3117">
        <v>7</v>
      </c>
      <c r="B79" s="3781"/>
      <c r="C79" s="3091" t="s">
        <v>2666</v>
      </c>
      <c r="D79" s="3091" t="s">
        <v>2667</v>
      </c>
      <c r="E79" s="3117">
        <v>0.15</v>
      </c>
      <c r="F79" s="3117">
        <v>20</v>
      </c>
    </row>
    <row r="80" spans="1:7" ht="24">
      <c r="A80" s="3117">
        <v>8</v>
      </c>
      <c r="B80" s="3781"/>
      <c r="C80" s="3091" t="s">
        <v>2668</v>
      </c>
      <c r="D80" s="3091" t="s">
        <v>2669</v>
      </c>
      <c r="E80" s="3117">
        <v>0.1</v>
      </c>
      <c r="F80" s="3117">
        <v>15</v>
      </c>
    </row>
    <row r="81" spans="1:6" ht="24">
      <c r="A81" s="3117">
        <v>9</v>
      </c>
      <c r="B81" s="3781"/>
      <c r="C81" s="3091" t="s">
        <v>2670</v>
      </c>
      <c r="D81" s="3091" t="s">
        <v>2671</v>
      </c>
      <c r="E81" s="3117">
        <v>0.1</v>
      </c>
      <c r="F81" s="3117">
        <v>15</v>
      </c>
    </row>
    <row r="82" spans="1:6" ht="24">
      <c r="A82" s="3117">
        <v>10</v>
      </c>
      <c r="B82" s="3781"/>
      <c r="C82" s="3091" t="s">
        <v>2672</v>
      </c>
      <c r="D82" s="3091" t="s">
        <v>2673</v>
      </c>
      <c r="E82" s="3117">
        <v>0.1</v>
      </c>
      <c r="F82" s="3117">
        <v>15</v>
      </c>
    </row>
    <row r="83" spans="1:6" ht="24">
      <c r="A83" s="3117">
        <v>11</v>
      </c>
      <c r="B83" s="3781"/>
      <c r="C83" s="3091" t="s">
        <v>2674</v>
      </c>
      <c r="D83" s="3091" t="s">
        <v>2675</v>
      </c>
      <c r="E83" s="3117">
        <v>0.1</v>
      </c>
      <c r="F83" s="3117">
        <v>15</v>
      </c>
    </row>
    <row r="84" spans="1:6" ht="24">
      <c r="A84" s="3117">
        <v>12</v>
      </c>
      <c r="B84" s="3781"/>
      <c r="C84" s="3091" t="s">
        <v>2676</v>
      </c>
      <c r="D84" s="3091" t="s">
        <v>2677</v>
      </c>
      <c r="E84" s="3117">
        <v>0.1</v>
      </c>
      <c r="F84" s="3117">
        <v>15</v>
      </c>
    </row>
    <row r="85" spans="1:6" ht="13.5">
      <c r="A85" s="3117">
        <v>13</v>
      </c>
      <c r="B85" s="3781"/>
      <c r="C85" s="3091" t="s">
        <v>2678</v>
      </c>
      <c r="D85" s="3091" t="s">
        <v>2679</v>
      </c>
      <c r="E85" s="3117">
        <v>0.1</v>
      </c>
      <c r="F85" s="3117">
        <v>15</v>
      </c>
    </row>
    <row r="86" spans="1:6" ht="13.5">
      <c r="A86" s="3117">
        <v>14</v>
      </c>
      <c r="B86" s="3781"/>
      <c r="C86" s="3091" t="s">
        <v>2680</v>
      </c>
      <c r="D86" s="3091" t="s">
        <v>2681</v>
      </c>
      <c r="E86" s="3117">
        <v>0.1</v>
      </c>
      <c r="F86" s="3117">
        <v>15</v>
      </c>
    </row>
    <row r="87" spans="1:6" ht="13.5">
      <c r="A87" s="3117">
        <v>15</v>
      </c>
      <c r="B87" s="3781"/>
      <c r="C87" s="3091" t="s">
        <v>2682</v>
      </c>
      <c r="D87" s="3091" t="s">
        <v>2683</v>
      </c>
      <c r="E87" s="3117">
        <v>0.1</v>
      </c>
      <c r="F87" s="3117">
        <v>15</v>
      </c>
    </row>
    <row r="88" spans="1:6" ht="24">
      <c r="A88" s="3117">
        <v>16</v>
      </c>
      <c r="B88" s="3781"/>
      <c r="C88" s="3091" t="s">
        <v>2684</v>
      </c>
      <c r="D88" s="3091" t="s">
        <v>2685</v>
      </c>
      <c r="E88" s="3117">
        <v>0.1</v>
      </c>
      <c r="F88" s="3117">
        <v>15</v>
      </c>
    </row>
    <row r="89" spans="1:6" ht="24">
      <c r="A89" s="3117">
        <v>17</v>
      </c>
      <c r="B89" s="3780"/>
      <c r="C89" s="3091" t="s">
        <v>2686</v>
      </c>
      <c r="D89" s="3091" t="s">
        <v>2687</v>
      </c>
      <c r="E89" s="3117">
        <v>0.1</v>
      </c>
      <c r="F89" s="3117">
        <v>15</v>
      </c>
    </row>
    <row r="90" spans="1:6" ht="13.5">
      <c r="A90" s="3117">
        <v>18</v>
      </c>
      <c r="B90" s="3779" t="s">
        <v>2688</v>
      </c>
      <c r="C90" s="3091" t="s">
        <v>2689</v>
      </c>
      <c r="D90" s="3091" t="s">
        <v>2690</v>
      </c>
      <c r="E90" s="3117">
        <v>0.2</v>
      </c>
      <c r="F90" s="3117">
        <v>25</v>
      </c>
    </row>
    <row r="91" spans="1:6" ht="24">
      <c r="A91" s="3117">
        <v>19</v>
      </c>
      <c r="B91" s="3781"/>
      <c r="C91" s="3091" t="s">
        <v>2691</v>
      </c>
      <c r="D91" s="3091" t="s">
        <v>2692</v>
      </c>
      <c r="E91" s="3117">
        <v>0.2</v>
      </c>
      <c r="F91" s="3117">
        <v>25</v>
      </c>
    </row>
    <row r="92" spans="1:6" ht="13.5">
      <c r="A92" s="3117">
        <v>20</v>
      </c>
      <c r="B92" s="3781"/>
      <c r="C92" s="3091" t="s">
        <v>2693</v>
      </c>
      <c r="D92" s="3091" t="s">
        <v>2694</v>
      </c>
      <c r="E92" s="3117">
        <v>0.15</v>
      </c>
      <c r="F92" s="3117">
        <v>20</v>
      </c>
    </row>
    <row r="93" spans="1:6" ht="13.5">
      <c r="A93" s="3117">
        <v>21</v>
      </c>
      <c r="B93" s="3781"/>
      <c r="C93" s="3091" t="s">
        <v>2695</v>
      </c>
      <c r="D93" s="3091" t="s">
        <v>2696</v>
      </c>
      <c r="E93" s="3117">
        <v>0.15</v>
      </c>
      <c r="F93" s="3117">
        <v>20</v>
      </c>
    </row>
    <row r="94" spans="1:6" ht="13.5">
      <c r="A94" s="3117">
        <v>22</v>
      </c>
      <c r="B94" s="3781"/>
      <c r="C94" s="3091" t="s">
        <v>2697</v>
      </c>
      <c r="D94" s="3091" t="s">
        <v>2698</v>
      </c>
      <c r="E94" s="3117">
        <v>0.15</v>
      </c>
      <c r="F94" s="3117">
        <v>20</v>
      </c>
    </row>
    <row r="95" spans="1:6" ht="36">
      <c r="A95" s="3117">
        <v>23</v>
      </c>
      <c r="B95" s="3781"/>
      <c r="C95" s="3091" t="s">
        <v>2699</v>
      </c>
      <c r="D95" s="3091" t="s">
        <v>2700</v>
      </c>
      <c r="E95" s="3117">
        <v>0.15</v>
      </c>
      <c r="F95" s="3117">
        <v>20</v>
      </c>
    </row>
    <row r="96" spans="1:6" ht="13.5">
      <c r="A96" s="3117">
        <v>24</v>
      </c>
      <c r="B96" s="3781"/>
      <c r="C96" s="3091" t="s">
        <v>2701</v>
      </c>
      <c r="D96" s="3091" t="s">
        <v>2702</v>
      </c>
      <c r="E96" s="3117">
        <v>0.1</v>
      </c>
      <c r="F96" s="3117">
        <v>15</v>
      </c>
    </row>
    <row r="97" spans="1:6" ht="13.5">
      <c r="A97" s="3117">
        <v>25</v>
      </c>
      <c r="B97" s="3781"/>
      <c r="C97" s="3091" t="s">
        <v>2703</v>
      </c>
      <c r="D97" s="3091" t="s">
        <v>2704</v>
      </c>
      <c r="E97" s="3117">
        <v>0.1</v>
      </c>
      <c r="F97" s="3117">
        <v>15</v>
      </c>
    </row>
    <row r="98" spans="1:6" ht="24">
      <c r="A98" s="3117">
        <v>26</v>
      </c>
      <c r="B98" s="3781"/>
      <c r="C98" s="3091" t="s">
        <v>2705</v>
      </c>
      <c r="D98" s="3091" t="s">
        <v>2706</v>
      </c>
      <c r="E98" s="3117">
        <v>0.1</v>
      </c>
      <c r="F98" s="3117">
        <v>15</v>
      </c>
    </row>
    <row r="99" spans="1:6" ht="24">
      <c r="A99" s="3117">
        <v>27</v>
      </c>
      <c r="B99" s="3781"/>
      <c r="C99" s="3091" t="s">
        <v>2707</v>
      </c>
      <c r="D99" s="3091" t="s">
        <v>2708</v>
      </c>
      <c r="E99" s="3117">
        <v>0.1</v>
      </c>
      <c r="F99" s="3117">
        <v>15</v>
      </c>
    </row>
    <row r="100" spans="1:6" ht="13.5">
      <c r="A100" s="3117">
        <v>28</v>
      </c>
      <c r="B100" s="3781"/>
      <c r="C100" s="3091" t="s">
        <v>2709</v>
      </c>
      <c r="D100" s="3091" t="s">
        <v>2710</v>
      </c>
      <c r="E100" s="3117">
        <v>0.1</v>
      </c>
      <c r="F100" s="3117">
        <v>15</v>
      </c>
    </row>
    <row r="101" spans="1:6" ht="13.5">
      <c r="A101" s="3117">
        <v>29</v>
      </c>
      <c r="B101" s="3781"/>
      <c r="C101" s="3091" t="s">
        <v>2711</v>
      </c>
      <c r="D101" s="3091" t="s">
        <v>2712</v>
      </c>
      <c r="E101" s="3117">
        <v>0.1</v>
      </c>
      <c r="F101" s="3117">
        <v>15</v>
      </c>
    </row>
    <row r="102" spans="1:6" ht="13.5">
      <c r="A102" s="3117">
        <v>30</v>
      </c>
      <c r="B102" s="3781"/>
      <c r="C102" s="3091" t="s">
        <v>2713</v>
      </c>
      <c r="D102" s="3091" t="s">
        <v>2714</v>
      </c>
      <c r="E102" s="3117">
        <v>0.1</v>
      </c>
      <c r="F102" s="3117">
        <v>15</v>
      </c>
    </row>
    <row r="103" spans="1:6" ht="24">
      <c r="A103" s="3117">
        <v>31</v>
      </c>
      <c r="B103" s="3781"/>
      <c r="C103" s="3091" t="s">
        <v>2715</v>
      </c>
      <c r="D103" s="3091" t="s">
        <v>2716</v>
      </c>
      <c r="E103" s="3117">
        <v>0.1</v>
      </c>
      <c r="F103" s="3117">
        <v>15</v>
      </c>
    </row>
    <row r="104" spans="1:6" ht="24">
      <c r="A104" s="3117">
        <v>32</v>
      </c>
      <c r="B104" s="3781"/>
      <c r="C104" s="3091" t="s">
        <v>2717</v>
      </c>
      <c r="D104" s="3091" t="s">
        <v>2718</v>
      </c>
      <c r="E104" s="3117">
        <v>0.1</v>
      </c>
      <c r="F104" s="3117">
        <v>15</v>
      </c>
    </row>
    <row r="105" spans="1:6" ht="24">
      <c r="A105" s="3117">
        <v>33</v>
      </c>
      <c r="B105" s="3781"/>
      <c r="C105" s="3091" t="s">
        <v>2719</v>
      </c>
      <c r="D105" s="3091" t="s">
        <v>2720</v>
      </c>
      <c r="E105" s="3117">
        <v>0.1</v>
      </c>
      <c r="F105" s="3117">
        <v>15</v>
      </c>
    </row>
    <row r="106" spans="1:6" ht="24">
      <c r="A106" s="3117">
        <v>34</v>
      </c>
      <c r="B106" s="3780"/>
      <c r="C106" s="3091" t="s">
        <v>2721</v>
      </c>
      <c r="D106" s="3091" t="s">
        <v>2722</v>
      </c>
      <c r="E106" s="3117">
        <v>0.1</v>
      </c>
      <c r="F106" s="3117">
        <v>15</v>
      </c>
    </row>
    <row r="107" spans="1:6" ht="24">
      <c r="A107" s="3117">
        <v>35</v>
      </c>
      <c r="B107" s="3779" t="s">
        <v>2723</v>
      </c>
      <c r="C107" s="3117" t="s">
        <v>2724</v>
      </c>
      <c r="D107" s="3091" t="s">
        <v>2725</v>
      </c>
      <c r="E107" s="3117">
        <v>0.15</v>
      </c>
      <c r="F107" s="3117">
        <v>20</v>
      </c>
    </row>
    <row r="108" spans="1:6" ht="13.5">
      <c r="A108" s="3117">
        <v>36</v>
      </c>
      <c r="B108" s="3781"/>
      <c r="C108" s="3117" t="s">
        <v>2726</v>
      </c>
      <c r="D108" s="3091" t="s">
        <v>2727</v>
      </c>
      <c r="E108" s="3117">
        <v>0.15</v>
      </c>
      <c r="F108" s="3117">
        <v>20</v>
      </c>
    </row>
    <row r="109" spans="1:6" ht="13.5">
      <c r="A109" s="3117">
        <v>37</v>
      </c>
      <c r="B109" s="3781"/>
      <c r="C109" s="3117" t="s">
        <v>2728</v>
      </c>
      <c r="D109" s="3091" t="s">
        <v>2729</v>
      </c>
      <c r="E109" s="3117">
        <v>0.15</v>
      </c>
      <c r="F109" s="3117">
        <v>20</v>
      </c>
    </row>
    <row r="110" spans="1:6" ht="13.5">
      <c r="A110" s="3117">
        <v>38</v>
      </c>
      <c r="B110" s="3781"/>
      <c r="C110" s="3117" t="s">
        <v>2730</v>
      </c>
      <c r="D110" s="3091" t="s">
        <v>2731</v>
      </c>
      <c r="E110" s="3117">
        <v>0.1</v>
      </c>
      <c r="F110" s="3117">
        <v>15</v>
      </c>
    </row>
    <row r="111" spans="1:6" ht="24">
      <c r="A111" s="3117">
        <v>39</v>
      </c>
      <c r="B111" s="3781"/>
      <c r="C111" s="3117" t="s">
        <v>2732</v>
      </c>
      <c r="D111" s="3091" t="s">
        <v>2733</v>
      </c>
      <c r="E111" s="3117">
        <v>0.1</v>
      </c>
      <c r="F111" s="3117">
        <v>15</v>
      </c>
    </row>
    <row r="112" spans="1:6" ht="24">
      <c r="A112" s="3117">
        <v>40</v>
      </c>
      <c r="B112" s="3780"/>
      <c r="C112" s="3117" t="s">
        <v>2734</v>
      </c>
      <c r="D112" s="3091" t="s">
        <v>2735</v>
      </c>
      <c r="E112" s="3117">
        <v>0.1</v>
      </c>
      <c r="F112" s="3117">
        <v>15</v>
      </c>
    </row>
    <row r="113" spans="1:6" ht="13.5">
      <c r="A113" s="3117">
        <v>41</v>
      </c>
      <c r="B113" s="3778" t="s">
        <v>2736</v>
      </c>
      <c r="C113" s="3117" t="s">
        <v>2737</v>
      </c>
      <c r="D113" s="3091" t="s">
        <v>2738</v>
      </c>
      <c r="E113" s="3117">
        <v>0.1</v>
      </c>
      <c r="F113" s="3117">
        <v>15</v>
      </c>
    </row>
    <row r="114" spans="1:6" ht="13.5">
      <c r="A114" s="3117">
        <v>42</v>
      </c>
      <c r="B114" s="3778"/>
      <c r="C114" s="3117" t="s">
        <v>2739</v>
      </c>
      <c r="D114" s="3091" t="s">
        <v>2740</v>
      </c>
      <c r="E114" s="3117">
        <v>0.1</v>
      </c>
      <c r="F114" s="3117">
        <v>15</v>
      </c>
    </row>
    <row r="115" spans="1:6" ht="24">
      <c r="A115" s="3117">
        <v>43</v>
      </c>
      <c r="B115" s="3778"/>
      <c r="C115" s="3117" t="s">
        <v>2741</v>
      </c>
      <c r="D115" s="3091" t="s">
        <v>2742</v>
      </c>
      <c r="E115" s="3117">
        <v>0.1</v>
      </c>
      <c r="F115" s="3117">
        <v>15</v>
      </c>
    </row>
    <row r="116" spans="1:6" ht="13.5">
      <c r="A116" s="3117">
        <v>44</v>
      </c>
      <c r="B116" s="3779" t="s">
        <v>2743</v>
      </c>
      <c r="C116" s="3117" t="s">
        <v>2744</v>
      </c>
      <c r="D116" s="3091" t="s">
        <v>2745</v>
      </c>
      <c r="E116" s="3117">
        <v>0.1</v>
      </c>
      <c r="F116" s="3117">
        <v>15</v>
      </c>
    </row>
    <row r="117" spans="1:6" ht="24">
      <c r="A117" s="3117">
        <v>45</v>
      </c>
      <c r="B117" s="3780"/>
      <c r="C117" s="3091" t="s">
        <v>2746</v>
      </c>
      <c r="D117" s="3091" t="s">
        <v>2747</v>
      </c>
      <c r="E117" s="3117">
        <v>0.1</v>
      </c>
      <c r="F117" s="3117">
        <v>15</v>
      </c>
    </row>
    <row r="118" spans="1:6" ht="24">
      <c r="A118" s="3117">
        <v>46</v>
      </c>
      <c r="B118" s="3779" t="s">
        <v>2748</v>
      </c>
      <c r="C118" s="3117" t="s">
        <v>2749</v>
      </c>
      <c r="D118" s="3091" t="s">
        <v>2750</v>
      </c>
      <c r="E118" s="3117">
        <v>0.1</v>
      </c>
      <c r="F118" s="3117">
        <v>15</v>
      </c>
    </row>
    <row r="119" spans="1:6" ht="24">
      <c r="A119" s="3117">
        <v>47</v>
      </c>
      <c r="B119" s="3780"/>
      <c r="C119" s="3117" t="s">
        <v>2751</v>
      </c>
      <c r="D119" s="3091" t="s">
        <v>2752</v>
      </c>
      <c r="E119" s="3117">
        <v>0.1</v>
      </c>
      <c r="F119" s="3117">
        <v>15</v>
      </c>
    </row>
    <row r="120" spans="1:6" ht="13.5">
      <c r="A120" s="3117">
        <v>48</v>
      </c>
      <c r="B120" s="3779" t="s">
        <v>2753</v>
      </c>
      <c r="C120" s="3117" t="s">
        <v>2754</v>
      </c>
      <c r="D120" s="3091" t="s">
        <v>2755</v>
      </c>
      <c r="E120" s="3117">
        <v>0.1</v>
      </c>
      <c r="F120" s="3117">
        <v>15</v>
      </c>
    </row>
    <row r="121" spans="1:6" ht="13.5">
      <c r="A121" s="3117">
        <v>49</v>
      </c>
      <c r="B121" s="3780"/>
      <c r="C121" s="3117" t="s">
        <v>2756</v>
      </c>
      <c r="D121" s="3091" t="s">
        <v>2757</v>
      </c>
      <c r="E121" s="3117">
        <v>0.1</v>
      </c>
      <c r="F121" s="3117">
        <v>15</v>
      </c>
    </row>
    <row r="122" spans="1:6" ht="24">
      <c r="A122" s="3117">
        <v>50</v>
      </c>
      <c r="B122" s="3778" t="s">
        <v>2758</v>
      </c>
      <c r="C122" s="3117" t="s">
        <v>2759</v>
      </c>
      <c r="D122" s="3091" t="s">
        <v>2760</v>
      </c>
      <c r="E122" s="3117">
        <v>0.1</v>
      </c>
      <c r="F122" s="3117">
        <v>15</v>
      </c>
    </row>
    <row r="123" spans="1:6" ht="24">
      <c r="A123" s="3117">
        <v>51</v>
      </c>
      <c r="B123" s="3778"/>
      <c r="C123" s="3117" t="s">
        <v>2761</v>
      </c>
      <c r="D123" s="3091" t="s">
        <v>2762</v>
      </c>
      <c r="E123" s="3117">
        <v>0.1</v>
      </c>
      <c r="F123" s="3117">
        <v>15</v>
      </c>
    </row>
    <row r="124" spans="1:6" ht="24">
      <c r="A124" s="3117">
        <v>52</v>
      </c>
      <c r="B124" s="3778" t="s">
        <v>2763</v>
      </c>
      <c r="C124" s="3117" t="s">
        <v>2764</v>
      </c>
      <c r="D124" s="3091" t="s">
        <v>2765</v>
      </c>
      <c r="E124" s="3117">
        <v>0.1</v>
      </c>
      <c r="F124" s="3117">
        <v>15</v>
      </c>
    </row>
    <row r="125" spans="1:6" ht="24">
      <c r="A125" s="3117">
        <v>53</v>
      </c>
      <c r="B125" s="377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8" t="s">
        <v>2771</v>
      </c>
      <c r="C127" s="3117" t="s">
        <v>2772</v>
      </c>
      <c r="D127" s="3091" t="s">
        <v>2773</v>
      </c>
      <c r="E127" s="3117">
        <v>0.1</v>
      </c>
      <c r="F127" s="3117">
        <v>15</v>
      </c>
    </row>
    <row r="128" spans="1:6" ht="13.5">
      <c r="A128" s="3117">
        <v>56</v>
      </c>
      <c r="B128" s="3778"/>
      <c r="C128" s="3117" t="s">
        <v>2774</v>
      </c>
      <c r="D128" s="3091" t="s">
        <v>2775</v>
      </c>
      <c r="E128" s="3117">
        <v>0.1</v>
      </c>
      <c r="F128" s="3117">
        <v>15</v>
      </c>
    </row>
    <row r="129" spans="1:6" ht="24">
      <c r="A129" s="3117">
        <v>57</v>
      </c>
      <c r="B129" s="3778"/>
      <c r="C129" s="3117" t="s">
        <v>2776</v>
      </c>
      <c r="D129" s="3091" t="s">
        <v>2777</v>
      </c>
      <c r="E129" s="3117">
        <v>0.1</v>
      </c>
      <c r="F129" s="3117">
        <v>15</v>
      </c>
    </row>
    <row r="130" spans="1:6" ht="24">
      <c r="A130" s="3117">
        <v>58</v>
      </c>
      <c r="B130" s="3778" t="s">
        <v>2778</v>
      </c>
      <c r="C130" s="3117" t="s">
        <v>2779</v>
      </c>
      <c r="D130" s="3091" t="s">
        <v>2780</v>
      </c>
      <c r="E130" s="3117">
        <v>0.1</v>
      </c>
      <c r="F130" s="3117">
        <v>15</v>
      </c>
    </row>
    <row r="131" spans="1:6" ht="13.5">
      <c r="A131" s="3117">
        <v>59</v>
      </c>
      <c r="B131" s="3778"/>
      <c r="C131" s="3117" t="s">
        <v>2781</v>
      </c>
      <c r="D131" s="3091" t="s">
        <v>2782</v>
      </c>
      <c r="E131" s="3117">
        <v>0.1</v>
      </c>
      <c r="F131" s="3117">
        <v>15</v>
      </c>
    </row>
    <row r="132" spans="1:6" ht="13.5">
      <c r="A132" s="3117">
        <v>60</v>
      </c>
      <c r="B132" s="3779" t="s">
        <v>2783</v>
      </c>
      <c r="C132" s="3117" t="s">
        <v>2784</v>
      </c>
      <c r="D132" s="3091" t="s">
        <v>2785</v>
      </c>
      <c r="E132" s="3117">
        <v>0.1</v>
      </c>
      <c r="F132" s="3117">
        <v>15</v>
      </c>
    </row>
    <row r="133" spans="1:6" ht="13.5">
      <c r="A133" s="3117">
        <v>61</v>
      </c>
      <c r="B133" s="378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8" t="s">
        <v>2791</v>
      </c>
      <c r="C135" s="3117" t="s">
        <v>2792</v>
      </c>
      <c r="D135" s="3091" t="s">
        <v>2793</v>
      </c>
      <c r="E135" s="3117">
        <v>0.1</v>
      </c>
      <c r="F135" s="3117">
        <v>15</v>
      </c>
    </row>
    <row r="136" spans="1:6" ht="13.5">
      <c r="A136" s="3117">
        <v>64</v>
      </c>
      <c r="B136" s="377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28206</v>
      </c>
      <c r="C2" s="2" t="s">
        <v>106</v>
      </c>
      <c r="D2" s="199"/>
      <c r="E2" s="199"/>
      <c r="F2" s="199"/>
      <c r="G2" s="199"/>
    </row>
    <row r="3" spans="1:7" s="200" customFormat="1" ht="18" customHeight="1" thickBot="1">
      <c r="A3" s="203" t="s">
        <v>58</v>
      </c>
      <c r="B3" s="204">
        <f ca="1">ROUND(B2*10000/'数据-汇总表'!E3,0)</f>
        <v>1228859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229.53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229.53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5</v>
      </c>
      <c r="D37" s="217">
        <f>'数据-汇总表'!E3</f>
        <v>229.53</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v>
      </c>
      <c r="D42" s="238"/>
      <c r="E42" s="238"/>
      <c r="F42" s="239"/>
      <c r="G42" s="3654" t="s">
        <v>94</v>
      </c>
    </row>
    <row r="43" spans="1:7" ht="13.5" customHeight="1">
      <c r="A43" s="779" t="s">
        <v>347</v>
      </c>
      <c r="B43" s="215" t="s">
        <v>426</v>
      </c>
      <c r="C43" s="238">
        <f ca="1">ROUND(IF('数据-取费表'!B22&lt;=1,C39*F22*'数据-取费表'!B21/2,C39*(POWER((1+F22),'数据-取费表'!B21/2)-1)),0)</f>
        <v>0</v>
      </c>
      <c r="D43" s="238"/>
      <c r="E43" s="238"/>
      <c r="F43" s="239"/>
      <c r="G43" s="3655"/>
    </row>
    <row r="44" spans="1:7" ht="13.5" customHeight="1">
      <c r="A44" s="779" t="s">
        <v>348</v>
      </c>
      <c r="B44" s="215" t="s">
        <v>428</v>
      </c>
      <c r="C44" s="238">
        <f ca="1">ROUND(IF('数据-取费表'!B22&lt;=1,C40*F22*'数据-取费表'!B21/2,C40*(POWER((1+F22),'数据-取费表'!B21/2)-1)),4)</f>
        <v>8.0000000000000004E-4</v>
      </c>
      <c r="D44" s="238"/>
      <c r="E44" s="238"/>
      <c r="F44" s="239"/>
      <c r="G44" s="3656"/>
    </row>
    <row r="45" spans="1:7" s="214" customFormat="1" ht="13.5" customHeight="1">
      <c r="A45" s="776" t="s">
        <v>341</v>
      </c>
      <c r="B45" s="244" t="s">
        <v>85</v>
      </c>
      <c r="C45" s="245">
        <f>C46</f>
        <v>17</v>
      </c>
      <c r="D45" s="235">
        <f>C47</f>
        <v>3.0000000000000001E-3</v>
      </c>
      <c r="E45" s="236" t="s">
        <v>102</v>
      </c>
      <c r="F45" s="246"/>
      <c r="G45" s="247" t="s">
        <v>434</v>
      </c>
    </row>
    <row r="46" spans="1:7" s="214" customFormat="1" ht="13.5" customHeight="1">
      <c r="A46" s="779" t="s">
        <v>349</v>
      </c>
      <c r="B46" s="248" t="s">
        <v>427</v>
      </c>
      <c r="C46" s="249">
        <f>ROUND((C33+C39)*F27,0)</f>
        <v>17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148</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123</v>
      </c>
      <c r="D51" s="232"/>
      <c r="E51" s="232"/>
      <c r="F51" s="264"/>
      <c r="G51" s="234" t="s">
        <v>37</v>
      </c>
    </row>
    <row r="52" spans="1:7" s="208" customFormat="1" ht="16.5" thickBot="1">
      <c r="A52" s="265" t="s">
        <v>38</v>
      </c>
      <c r="B52" s="266"/>
      <c r="C52" s="267">
        <f ca="1">C31+C51</f>
        <v>28206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2"/>
      <c r="B4" s="3475" t="s">
        <v>917</v>
      </c>
      <c r="C4" s="3475"/>
      <c r="D4" s="3475"/>
      <c r="E4" s="1492"/>
    </row>
    <row r="5" spans="1:5" ht="16.5" thickTop="1">
      <c r="A5" s="1490"/>
      <c r="B5" s="3473" t="s">
        <v>909</v>
      </c>
      <c r="C5" s="1493" t="s">
        <v>910</v>
      </c>
      <c r="D5" s="849">
        <f ca="1">结果表!H101</f>
        <v>661</v>
      </c>
      <c r="E5" s="1490"/>
    </row>
    <row r="6" spans="1:5" ht="15.75">
      <c r="A6" s="1490"/>
      <c r="B6" s="3473"/>
      <c r="C6" s="1493" t="s">
        <v>911</v>
      </c>
      <c r="D6" s="849" t="str">
        <f ca="1">NUMBERSTRING(INT(D5*10000),2)&amp;"元整"</f>
        <v>陆佰陆拾壹万元整</v>
      </c>
      <c r="E6" s="1490"/>
    </row>
    <row r="7" spans="1:5" ht="15.75">
      <c r="A7" s="1490"/>
      <c r="B7" s="3478"/>
      <c r="C7" s="1494" t="s">
        <v>912</v>
      </c>
      <c r="D7" s="850">
        <f ca="1">结果表!H102</f>
        <v>28807</v>
      </c>
      <c r="E7" s="1490"/>
    </row>
    <row r="8" spans="1:5" ht="15.75">
      <c r="A8" s="1490"/>
      <c r="B8" s="3479" t="str">
        <f>结果表!E103</f>
        <v>2.估价师知悉的法定优先受偿款</v>
      </c>
      <c r="C8" s="1495" t="s">
        <v>913</v>
      </c>
      <c r="D8" s="850">
        <f>结果表!H103</f>
        <v>0</v>
      </c>
      <c r="E8" s="1490"/>
    </row>
    <row r="9" spans="1:5" ht="15.75">
      <c r="A9" s="1490"/>
      <c r="B9" s="348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2" t="str">
        <f>结果表!E107</f>
        <v>3.房地产抵押价值</v>
      </c>
      <c r="C13" s="1498" t="s">
        <v>910</v>
      </c>
      <c r="D13" s="852">
        <f ca="1">结果表!H107</f>
        <v>661</v>
      </c>
      <c r="E13" s="1490"/>
    </row>
    <row r="14" spans="1:5" ht="15.75">
      <c r="A14" s="1490"/>
      <c r="B14" s="3473"/>
      <c r="C14" s="1493" t="s">
        <v>911</v>
      </c>
      <c r="D14" s="849" t="str">
        <f ca="1">NUMBERSTRING(INT(D13*10000),2)&amp;"元整"</f>
        <v>陆佰陆拾壹万元整</v>
      </c>
      <c r="E14" s="1490"/>
    </row>
    <row r="15" spans="1:5" ht="15">
      <c r="A15" s="1490"/>
      <c r="B15" s="3478"/>
      <c r="C15" s="1494" t="s">
        <v>921</v>
      </c>
      <c r="D15" s="858">
        <f ca="1">结果表!H108</f>
        <v>28807</v>
      </c>
      <c r="E15" s="1490"/>
    </row>
    <row r="16" spans="1:5" ht="15">
      <c r="A16" s="1490"/>
      <c r="B16" s="3479" t="str">
        <f>结果表!E109</f>
        <v>——</v>
      </c>
      <c r="C16" s="1498" t="s">
        <v>922</v>
      </c>
      <c r="D16" s="1499" t="str">
        <f>结果表!H109</f>
        <v>——</v>
      </c>
      <c r="E16" s="1490"/>
    </row>
    <row r="17" spans="1:5" ht="15.75">
      <c r="A17" s="1490"/>
      <c r="B17" s="3480"/>
      <c r="C17" s="1493" t="s">
        <v>923</v>
      </c>
      <c r="D17" s="849" t="e">
        <f>NUMBERSTRING(INT(D16*10000),2)&amp;"元整"</f>
        <v>#VALUE!</v>
      </c>
      <c r="E17" s="1490"/>
    </row>
    <row r="18" spans="1:5" ht="15">
      <c r="A18" s="1490"/>
      <c r="B18" s="3481"/>
      <c r="C18" s="1494" t="s">
        <v>912</v>
      </c>
      <c r="D18" s="858" t="str">
        <f>结果表!H110</f>
        <v>——</v>
      </c>
      <c r="E18" s="1490"/>
    </row>
    <row r="19" spans="1:5" ht="15.75">
      <c r="A19" s="1490"/>
      <c r="B19" s="3472" t="str">
        <f>结果表!E111</f>
        <v>4.抵押净值</v>
      </c>
      <c r="C19" s="1498" t="s">
        <v>910</v>
      </c>
      <c r="D19" s="850">
        <f ca="1">结果表!H111</f>
        <v>280</v>
      </c>
      <c r="E19" s="1490"/>
    </row>
    <row r="20" spans="1:5" ht="15.75">
      <c r="A20" s="1490"/>
      <c r="B20" s="3473"/>
      <c r="C20" s="1493" t="s">
        <v>923</v>
      </c>
      <c r="D20" s="849" t="str">
        <f ca="1">NUMBERSTRING(INT(D19*10000),2)&amp;"元整"</f>
        <v>贰佰捌拾万元整</v>
      </c>
      <c r="E20" s="1490"/>
    </row>
    <row r="21" spans="1:5" ht="15.75" thickBot="1">
      <c r="A21" s="1490"/>
      <c r="B21" s="3474"/>
      <c r="C21" s="1500" t="s">
        <v>921</v>
      </c>
      <c r="D21" s="859">
        <f ca="1">结果表!H112</f>
        <v>12199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2" t="s">
        <v>2847</v>
      </c>
      <c r="B1" s="3792"/>
      <c r="C1" s="3792"/>
      <c r="D1" s="3792"/>
      <c r="E1" s="3792"/>
      <c r="F1" s="3792"/>
      <c r="G1" s="3793"/>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90"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91"/>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3189</v>
      </c>
      <c r="B1" s="3794"/>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5" t="s">
        <v>3240</v>
      </c>
      <c r="B1" s="3795"/>
      <c r="C1" s="3795"/>
      <c r="D1" s="3795"/>
      <c r="E1" s="3795"/>
      <c r="F1" s="3796"/>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44930</v>
      </c>
      <c r="B1" s="3210" t="s">
        <v>2846</v>
      </c>
      <c r="C1" s="3211"/>
      <c r="D1" s="3211"/>
      <c r="E1" s="3211"/>
      <c r="F1" s="3211"/>
      <c r="G1" s="3211"/>
      <c r="H1" s="3211"/>
      <c r="I1" s="3211"/>
      <c r="J1" s="3164"/>
      <c r="K1" s="3211" t="s">
        <v>454</v>
      </c>
      <c r="L1" s="3211"/>
      <c r="M1" s="3211"/>
      <c r="N1" s="3211"/>
      <c r="O1" s="3211"/>
      <c r="P1" s="3211"/>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7" t="s">
        <v>2832</v>
      </c>
      <c r="S18" s="3798"/>
      <c r="T18" s="3798"/>
      <c r="U18" s="3798"/>
      <c r="V18" s="3798"/>
      <c r="W18" s="3798"/>
      <c r="X18" s="3164"/>
      <c r="Y18" s="3797" t="s">
        <v>2833</v>
      </c>
      <c r="Z18" s="3798"/>
      <c r="AA18" s="3798"/>
      <c r="AB18" s="3798"/>
      <c r="AC18" s="3798"/>
      <c r="AD18" s="3798"/>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44930</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464" t="s">
        <v>3380</v>
      </c>
      <c r="H2" s="3464" t="s">
        <v>3381</v>
      </c>
      <c r="I2" s="3464" t="s">
        <v>3382</v>
      </c>
      <c r="J2" s="3464" t="s">
        <v>3383</v>
      </c>
      <c r="K2" s="3464" t="s">
        <v>3384</v>
      </c>
      <c r="L2" s="3465" t="s">
        <v>3385</v>
      </c>
    </row>
    <row r="3" spans="2:12">
      <c r="B3">
        <v>901</v>
      </c>
      <c r="C3">
        <v>229.53</v>
      </c>
      <c r="G3" s="3464">
        <v>1</v>
      </c>
      <c r="H3" s="3464" t="s">
        <v>3386</v>
      </c>
      <c r="I3" s="3464" t="s">
        <v>3387</v>
      </c>
      <c r="J3" s="3464">
        <f>C3</f>
        <v>229.53</v>
      </c>
      <c r="K3" s="3464" t="s">
        <v>3388</v>
      </c>
      <c r="L3" s="3466"/>
    </row>
    <row r="4" spans="2:12">
      <c r="B4">
        <v>902</v>
      </c>
      <c r="C4">
        <v>89.91</v>
      </c>
      <c r="G4" s="3464">
        <v>2</v>
      </c>
      <c r="H4" s="3464" t="s">
        <v>3389</v>
      </c>
      <c r="I4" s="3464" t="s">
        <v>3390</v>
      </c>
      <c r="J4" s="3465">
        <f t="shared" ref="J4:J18" si="0">C4</f>
        <v>89.91</v>
      </c>
      <c r="K4" s="3464" t="s">
        <v>3391</v>
      </c>
      <c r="L4" s="3466"/>
    </row>
    <row r="5" spans="2:12">
      <c r="B5">
        <v>903</v>
      </c>
      <c r="C5">
        <v>111.32</v>
      </c>
      <c r="G5" s="3464">
        <v>3</v>
      </c>
      <c r="H5" s="3464" t="s">
        <v>3392</v>
      </c>
      <c r="I5" s="3464" t="s">
        <v>3393</v>
      </c>
      <c r="J5" s="3464">
        <f t="shared" si="0"/>
        <v>111.32</v>
      </c>
      <c r="K5" s="3464" t="s">
        <v>3391</v>
      </c>
      <c r="L5" s="3466"/>
    </row>
    <row r="6" spans="2:12">
      <c r="B6">
        <v>904</v>
      </c>
      <c r="C6">
        <v>92.76</v>
      </c>
      <c r="G6" s="3464">
        <v>4</v>
      </c>
      <c r="H6" s="3464" t="s">
        <v>3394</v>
      </c>
      <c r="I6" s="3464" t="s">
        <v>3395</v>
      </c>
      <c r="J6" s="3464">
        <f t="shared" si="0"/>
        <v>92.76</v>
      </c>
      <c r="K6" s="3464" t="s">
        <v>3391</v>
      </c>
      <c r="L6" s="3466"/>
    </row>
    <row r="7" spans="2:12">
      <c r="B7">
        <v>905</v>
      </c>
      <c r="C7">
        <v>111.44</v>
      </c>
      <c r="G7" s="3464">
        <v>5</v>
      </c>
      <c r="H7" s="3464" t="s">
        <v>3396</v>
      </c>
      <c r="I7" s="3464" t="s">
        <v>3397</v>
      </c>
      <c r="J7" s="3464">
        <f t="shared" si="0"/>
        <v>111.44</v>
      </c>
      <c r="K7" s="3464" t="s">
        <v>3391</v>
      </c>
      <c r="L7" s="3466"/>
    </row>
    <row r="8" spans="2:12">
      <c r="B8">
        <v>906</v>
      </c>
      <c r="C8">
        <v>91.17</v>
      </c>
      <c r="G8" s="3464">
        <v>6</v>
      </c>
      <c r="H8" s="3464" t="s">
        <v>3398</v>
      </c>
      <c r="I8" s="3464" t="s">
        <v>3399</v>
      </c>
      <c r="J8" s="3464">
        <f t="shared" si="0"/>
        <v>91.17</v>
      </c>
      <c r="K8" s="3464" t="s">
        <v>3391</v>
      </c>
      <c r="L8" s="3466"/>
    </row>
    <row r="9" spans="2:12">
      <c r="B9">
        <v>907</v>
      </c>
      <c r="C9">
        <v>111.05</v>
      </c>
      <c r="G9" s="3464">
        <v>7</v>
      </c>
      <c r="H9" s="3464" t="s">
        <v>3400</v>
      </c>
      <c r="I9" s="3464" t="s">
        <v>3401</v>
      </c>
      <c r="J9" s="3464">
        <f t="shared" si="0"/>
        <v>111.05</v>
      </c>
      <c r="K9" s="3464" t="s">
        <v>3391</v>
      </c>
      <c r="L9" s="3466"/>
    </row>
    <row r="10" spans="2:12">
      <c r="B10">
        <v>908</v>
      </c>
      <c r="C10">
        <v>91.97</v>
      </c>
      <c r="G10" s="3464">
        <v>8</v>
      </c>
      <c r="H10" s="3464" t="s">
        <v>3402</v>
      </c>
      <c r="I10" s="3464" t="s">
        <v>3403</v>
      </c>
      <c r="J10" s="3464">
        <f t="shared" si="0"/>
        <v>91.97</v>
      </c>
      <c r="K10" s="3464" t="s">
        <v>3391</v>
      </c>
      <c r="L10" s="3466"/>
    </row>
    <row r="11" spans="2:12">
      <c r="B11">
        <v>909</v>
      </c>
      <c r="C11">
        <v>113.63</v>
      </c>
      <c r="G11" s="3464">
        <v>9</v>
      </c>
      <c r="H11" s="3464" t="s">
        <v>3404</v>
      </c>
      <c r="I11" s="3464" t="s">
        <v>3405</v>
      </c>
      <c r="J11" s="3464">
        <f t="shared" si="0"/>
        <v>113.63</v>
      </c>
      <c r="K11" s="3464" t="s">
        <v>3391</v>
      </c>
      <c r="L11" s="3466"/>
    </row>
    <row r="12" spans="2:12">
      <c r="B12">
        <v>910</v>
      </c>
      <c r="C12">
        <v>91.97</v>
      </c>
      <c r="G12" s="3464">
        <v>10</v>
      </c>
      <c r="H12" s="3464" t="s">
        <v>3406</v>
      </c>
      <c r="I12" s="3464" t="s">
        <v>3407</v>
      </c>
      <c r="J12" s="3464">
        <f t="shared" si="0"/>
        <v>91.97</v>
      </c>
      <c r="K12" s="3464" t="s">
        <v>3391</v>
      </c>
      <c r="L12" s="3466"/>
    </row>
    <row r="13" spans="2:12">
      <c r="B13">
        <v>911</v>
      </c>
      <c r="C13">
        <v>104.95</v>
      </c>
      <c r="G13" s="3464">
        <v>11</v>
      </c>
      <c r="H13" s="3464" t="s">
        <v>3408</v>
      </c>
      <c r="I13" s="3464" t="s">
        <v>3409</v>
      </c>
      <c r="J13" s="3464">
        <f t="shared" si="0"/>
        <v>104.95</v>
      </c>
      <c r="K13" s="3464" t="s">
        <v>3391</v>
      </c>
      <c r="L13" s="3466"/>
    </row>
    <row r="14" spans="2:12">
      <c r="B14">
        <v>912</v>
      </c>
      <c r="C14">
        <v>88.79</v>
      </c>
      <c r="G14" s="3464">
        <v>12</v>
      </c>
      <c r="H14" s="3464" t="s">
        <v>3410</v>
      </c>
      <c r="I14" s="3464" t="s">
        <v>3411</v>
      </c>
      <c r="J14" s="3464">
        <f t="shared" si="0"/>
        <v>88.79</v>
      </c>
      <c r="K14" s="3464" t="s">
        <v>3391</v>
      </c>
      <c r="L14" s="3466"/>
    </row>
    <row r="15" spans="2:12">
      <c r="B15">
        <v>913</v>
      </c>
      <c r="C15">
        <v>84.75</v>
      </c>
      <c r="G15" s="3464">
        <v>13</v>
      </c>
      <c r="H15" s="3464" t="s">
        <v>3412</v>
      </c>
      <c r="I15" s="3464" t="s">
        <v>3413</v>
      </c>
      <c r="J15" s="3464">
        <f t="shared" si="0"/>
        <v>84.75</v>
      </c>
      <c r="K15" s="3464" t="s">
        <v>3391</v>
      </c>
      <c r="L15" s="3466"/>
    </row>
    <row r="16" spans="2:12">
      <c r="B16">
        <v>914</v>
      </c>
      <c r="C16">
        <v>77.17</v>
      </c>
      <c r="G16" s="3464">
        <v>14</v>
      </c>
      <c r="H16" s="3464" t="s">
        <v>3414</v>
      </c>
      <c r="I16" s="3464" t="s">
        <v>3415</v>
      </c>
      <c r="J16" s="3464">
        <f t="shared" si="0"/>
        <v>77.17</v>
      </c>
      <c r="K16" s="3464" t="s">
        <v>3391</v>
      </c>
      <c r="L16" s="3466"/>
    </row>
    <row r="17" spans="2:12">
      <c r="B17">
        <v>915</v>
      </c>
      <c r="C17">
        <v>84.11</v>
      </c>
      <c r="G17" s="3464">
        <v>15</v>
      </c>
      <c r="H17" s="3464" t="s">
        <v>3416</v>
      </c>
      <c r="I17" s="3464" t="s">
        <v>3417</v>
      </c>
      <c r="J17" s="3464">
        <f t="shared" si="0"/>
        <v>84.11</v>
      </c>
      <c r="K17" s="3464" t="s">
        <v>3391</v>
      </c>
      <c r="L17" s="3466"/>
    </row>
    <row r="18" spans="2:12">
      <c r="B18">
        <v>916</v>
      </c>
      <c r="C18">
        <v>67.489999999999995</v>
      </c>
      <c r="G18" s="3464">
        <v>16</v>
      </c>
      <c r="H18" s="3464" t="s">
        <v>3418</v>
      </c>
      <c r="I18" s="3464" t="s">
        <v>3419</v>
      </c>
      <c r="J18" s="3464">
        <f t="shared" si="0"/>
        <v>67.489999999999995</v>
      </c>
      <c r="K18" s="3464" t="s">
        <v>3391</v>
      </c>
      <c r="L18" s="3466"/>
    </row>
    <row r="19" spans="2:12">
      <c r="B19" s="3467" t="s">
        <v>3420</v>
      </c>
      <c r="C19">
        <f>SUM(C3:C18)</f>
        <v>1642.01</v>
      </c>
      <c r="G19" s="3810" t="s">
        <v>3420</v>
      </c>
      <c r="H19" s="3810"/>
      <c r="I19" s="3810"/>
      <c r="J19" s="3464">
        <f>C19</f>
        <v>1642.01</v>
      </c>
      <c r="K19" s="3464"/>
      <c r="L19" s="3466"/>
    </row>
    <row r="25" spans="2:12">
      <c r="B25" s="3468">
        <v>1</v>
      </c>
    </row>
    <row r="26" spans="2:12">
      <c r="B26" s="3468">
        <v>2</v>
      </c>
    </row>
    <row r="27" spans="2:12">
      <c r="B27" s="3468">
        <v>3</v>
      </c>
    </row>
    <row r="28" spans="2:12">
      <c r="B28" s="3468">
        <v>4</v>
      </c>
    </row>
    <row r="29" spans="2:12">
      <c r="B29">
        <v>5</v>
      </c>
    </row>
    <row r="30" spans="2:12">
      <c r="B30">
        <v>6</v>
      </c>
    </row>
    <row r="31" spans="2:12">
      <c r="B31">
        <v>7</v>
      </c>
    </row>
    <row r="32" spans="2:12">
      <c r="B32">
        <v>8</v>
      </c>
    </row>
    <row r="33" spans="2:2">
      <c r="B33" s="3468">
        <v>9</v>
      </c>
    </row>
    <row r="34" spans="2:2">
      <c r="B34" s="3468">
        <v>10</v>
      </c>
    </row>
    <row r="35" spans="2:2">
      <c r="B35" s="3468">
        <v>11</v>
      </c>
    </row>
    <row r="36" spans="2:2">
      <c r="B36" s="3469"/>
    </row>
    <row r="37" spans="2:2">
      <c r="B37" s="3469"/>
    </row>
  </sheetData>
  <mergeCells count="1">
    <mergeCell ref="G19:I19"/>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L7"/>
  <sheetViews>
    <sheetView workbookViewId="0">
      <selection activeCell="L5" sqref="L5"/>
    </sheetView>
  </sheetViews>
  <sheetFormatPr defaultRowHeight="13.5"/>
  <sheetData>
    <row r="4" spans="8:12">
      <c r="I4" s="3467" t="s">
        <v>3435</v>
      </c>
      <c r="J4" s="3467" t="s">
        <v>3436</v>
      </c>
      <c r="K4" s="3467" t="s">
        <v>3437</v>
      </c>
      <c r="L4">
        <v>0.85</v>
      </c>
    </row>
    <row r="5" spans="8:12">
      <c r="H5" s="3467" t="s">
        <v>3434</v>
      </c>
      <c r="I5">
        <v>229.53</v>
      </c>
      <c r="J5">
        <v>43088</v>
      </c>
      <c r="K5" s="3467" t="s">
        <v>3438</v>
      </c>
      <c r="L5">
        <f>ROUND(J5*$L$4,0)</f>
        <v>36625</v>
      </c>
    </row>
    <row r="6" spans="8:12">
      <c r="H6" t="str">
        <f>H5</f>
        <v>果栋loft</v>
      </c>
      <c r="I6">
        <v>89.91</v>
      </c>
      <c r="J6">
        <v>38928</v>
      </c>
      <c r="K6" s="3467" t="s">
        <v>3438</v>
      </c>
      <c r="L6">
        <f t="shared" ref="L6:L7" si="0">ROUND(J6*$L$4,0)</f>
        <v>33089</v>
      </c>
    </row>
    <row r="7" spans="8:12">
      <c r="H7" t="str">
        <f>H5</f>
        <v>果栋loft</v>
      </c>
      <c r="I7">
        <v>111.32</v>
      </c>
      <c r="J7">
        <v>39077</v>
      </c>
      <c r="K7" s="3467" t="s">
        <v>3438</v>
      </c>
      <c r="L7">
        <f t="shared" si="0"/>
        <v>33215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6"/>
  <sheetViews>
    <sheetView tabSelected="1" topLeftCell="C1" workbookViewId="0">
      <selection activeCell="H31" sqref="H31"/>
    </sheetView>
  </sheetViews>
  <sheetFormatPr defaultRowHeight="13.5"/>
  <cols>
    <col min="4" max="4" width="34.375" bestFit="1" customWidth="1"/>
  </cols>
  <sheetData>
    <row r="3" spans="4:14">
      <c r="D3" s="3816"/>
      <c r="E3" s="3816"/>
      <c r="F3" s="3817">
        <v>5.0000000000000001E-4</v>
      </c>
      <c r="G3" s="3816"/>
      <c r="H3" s="3816"/>
      <c r="I3" s="3816"/>
      <c r="J3" s="3816"/>
      <c r="K3" s="3816"/>
      <c r="L3" s="3816"/>
    </row>
    <row r="4" spans="4:14">
      <c r="D4" s="3818" t="s">
        <v>3448</v>
      </c>
      <c r="E4" s="3819" t="s">
        <v>3449</v>
      </c>
      <c r="F4" s="3819" t="s">
        <v>3450</v>
      </c>
      <c r="G4" s="3819" t="s">
        <v>3451</v>
      </c>
      <c r="H4" s="3820" t="s">
        <v>3452</v>
      </c>
      <c r="I4" s="3820" t="s">
        <v>3453</v>
      </c>
      <c r="J4" s="3816"/>
      <c r="K4" s="3820" t="s">
        <v>3454</v>
      </c>
      <c r="L4" s="3816"/>
    </row>
    <row r="5" spans="4:14">
      <c r="D5" s="3818" t="str">
        <f>[3]面积清单!H3</f>
        <v>北京市昌平区回南路9号院28号楼9层901号</v>
      </c>
      <c r="E5" s="3818">
        <f ca="1">ROUND(典型户型修正!R24*典型户型修正!B24/10000,2)</f>
        <v>661.21</v>
      </c>
      <c r="F5" s="3818">
        <f ca="1">ROUND(E5*$F$3,2)</f>
        <v>0.33</v>
      </c>
      <c r="G5" s="3818">
        <f ca="1">E5-F5</f>
        <v>660.88</v>
      </c>
      <c r="H5" s="3816">
        <f ca="1">ROUND(G5/[3]典型户型修正!B27*10000,0)</f>
        <v>28793</v>
      </c>
      <c r="I5" s="3816">
        <f ca="1">典型户型修正!R24</f>
        <v>28807</v>
      </c>
      <c r="J5" s="3816"/>
      <c r="K5" s="3816">
        <v>683.90250000000003</v>
      </c>
      <c r="L5" s="3816">
        <f ca="1">E5-K5</f>
        <v>-22.692499999999995</v>
      </c>
      <c r="M5">
        <f>面积清单!J3</f>
        <v>229.53</v>
      </c>
      <c r="N5">
        <f>ROUND(K5/M5*10000,2)</f>
        <v>29795.78</v>
      </c>
    </row>
    <row r="6" spans="4:14">
      <c r="D6" s="3818" t="str">
        <f>[3]面积清单!H4</f>
        <v>北京市昌平区回南路9号院28号楼9层902号</v>
      </c>
      <c r="E6" s="3818">
        <f ca="1">ROUND(典型户型修正!R25*典型户型修正!B25/10000,2)</f>
        <v>264.18</v>
      </c>
      <c r="F6" s="3818">
        <f t="shared" ref="F6:F20" ca="1" si="0">ROUND(E6*$F$3,2)</f>
        <v>0.13</v>
      </c>
      <c r="G6" s="3818">
        <f t="shared" ref="G6:G20" ca="1" si="1">E6-F6</f>
        <v>264.05</v>
      </c>
      <c r="H6" s="3816">
        <f ca="1">ROUND(G6/[3]典型户型修正!B28*10000,0)</f>
        <v>29368</v>
      </c>
      <c r="I6" s="3816">
        <f ca="1">典型户型修正!R25</f>
        <v>29383</v>
      </c>
      <c r="J6" s="3816"/>
      <c r="K6" s="3816">
        <v>265.04250000000002</v>
      </c>
      <c r="L6" s="3816">
        <f t="shared" ref="L6:L20" ca="1" si="2">E6-K6</f>
        <v>-0.86250000000001137</v>
      </c>
      <c r="M6">
        <f>面积清单!J4</f>
        <v>89.91</v>
      </c>
      <c r="N6">
        <f t="shared" ref="N6:N20" si="3">ROUND(K6/M6*10000,2)</f>
        <v>29478.65</v>
      </c>
    </row>
    <row r="7" spans="4:14">
      <c r="D7" s="3818" t="str">
        <f>[3]面积清单!H5</f>
        <v>北京市昌平区回南路9号院28号楼9层903号</v>
      </c>
      <c r="E7" s="3818">
        <f ca="1">ROUND(典型户型修正!R26*典型户型修正!B26/10000,2)</f>
        <v>323.89</v>
      </c>
      <c r="F7" s="3818">
        <f t="shared" ca="1" si="0"/>
        <v>0.16</v>
      </c>
      <c r="G7" s="3818">
        <f t="shared" ca="1" si="1"/>
        <v>323.72999999999996</v>
      </c>
      <c r="H7" s="3816">
        <f ca="1">ROUND(G7/[3]典型户型修正!B29*10000,0)</f>
        <v>29081</v>
      </c>
      <c r="I7" s="3816">
        <f ca="1">典型户型修正!R26</f>
        <v>29095</v>
      </c>
      <c r="J7" s="3816"/>
      <c r="K7" s="3816">
        <v>329.27249999999998</v>
      </c>
      <c r="L7" s="3816">
        <f t="shared" ca="1" si="2"/>
        <v>-5.3824999999999932</v>
      </c>
      <c r="M7">
        <f>面积清单!J5</f>
        <v>111.32</v>
      </c>
      <c r="N7">
        <f t="shared" si="3"/>
        <v>29578.92</v>
      </c>
    </row>
    <row r="8" spans="4:14">
      <c r="D8" s="3818" t="str">
        <f>[3]面积清单!H6</f>
        <v>北京市昌平区回南路9号院28号楼9层904号</v>
      </c>
      <c r="E8" s="3818">
        <f ca="1">ROUND(典型户型修正!R27*典型户型修正!B27/10000,2)</f>
        <v>272.56</v>
      </c>
      <c r="F8" s="3818">
        <f t="shared" ca="1" si="0"/>
        <v>0.14000000000000001</v>
      </c>
      <c r="G8" s="3818">
        <f t="shared" ca="1" si="1"/>
        <v>272.42</v>
      </c>
      <c r="H8" s="3816">
        <f ca="1">ROUND(G8/[3]典型户型修正!B30*10000,0)</f>
        <v>29368</v>
      </c>
      <c r="I8" s="3816">
        <f ca="1">典型户型修正!R27</f>
        <v>29383</v>
      </c>
      <c r="J8" s="3816"/>
      <c r="K8" s="3816">
        <v>273.59249999999997</v>
      </c>
      <c r="L8" s="3816">
        <f t="shared" ca="1" si="2"/>
        <v>-1.0324999999999704</v>
      </c>
      <c r="M8">
        <f>面积清单!J6</f>
        <v>92.76</v>
      </c>
      <c r="N8">
        <f t="shared" si="3"/>
        <v>29494.66</v>
      </c>
    </row>
    <row r="9" spans="4:14">
      <c r="D9" s="3818" t="str">
        <f>[3]面积清单!H7</f>
        <v>北京市昌平区回南路9号院28号楼9层905号</v>
      </c>
      <c r="E9" s="3818">
        <f ca="1">ROUND(典型户型修正!R28*典型户型修正!B28/10000,2)</f>
        <v>324.23</v>
      </c>
      <c r="F9" s="3818">
        <f t="shared" ca="1" si="0"/>
        <v>0.16</v>
      </c>
      <c r="G9" s="3818">
        <f t="shared" ca="1" si="1"/>
        <v>324.07</v>
      </c>
      <c r="H9" s="3816">
        <f ca="1">ROUND(G9/[3]典型户型修正!B31*10000,0)</f>
        <v>29080</v>
      </c>
      <c r="I9" s="3816">
        <f ca="1">典型户型修正!R28</f>
        <v>29095</v>
      </c>
      <c r="J9" s="3816"/>
      <c r="K9" s="3816">
        <v>329.63249999999999</v>
      </c>
      <c r="L9" s="3816">
        <f t="shared" ca="1" si="2"/>
        <v>-5.402499999999975</v>
      </c>
      <c r="M9">
        <f>面积清单!J7</f>
        <v>111.44</v>
      </c>
      <c r="N9">
        <f t="shared" si="3"/>
        <v>29579.37</v>
      </c>
    </row>
    <row r="10" spans="4:14">
      <c r="D10" s="3818" t="str">
        <f>[3]面积清单!H8</f>
        <v>北京市昌平区回南路9号院28号楼9层906号</v>
      </c>
      <c r="E10" s="3818">
        <f ca="1">ROUND(典型户型修正!R29*典型户型修正!B29/10000,2)</f>
        <v>267.88</v>
      </c>
      <c r="F10" s="3818">
        <f t="shared" ca="1" si="0"/>
        <v>0.13</v>
      </c>
      <c r="G10" s="3818">
        <f t="shared" ca="1" si="1"/>
        <v>267.75</v>
      </c>
      <c r="H10" s="3816">
        <f ca="1">ROUND(G10/[3]典型户型修正!B32*10000,0)</f>
        <v>29368</v>
      </c>
      <c r="I10" s="3816">
        <f ca="1">典型户型修正!R29</f>
        <v>29383</v>
      </c>
      <c r="J10" s="3816"/>
      <c r="K10" s="3816">
        <v>268.82249999999999</v>
      </c>
      <c r="L10" s="3816">
        <f t="shared" ca="1" si="2"/>
        <v>-0.94249999999999545</v>
      </c>
      <c r="M10">
        <f>面积清单!J8</f>
        <v>91.17</v>
      </c>
      <c r="N10">
        <f t="shared" si="3"/>
        <v>29485.85</v>
      </c>
    </row>
    <row r="11" spans="4:14">
      <c r="D11" s="3818" t="str">
        <f>[3]面积清单!H9</f>
        <v>北京市昌平区回南路9号院28号楼9层907号</v>
      </c>
      <c r="E11" s="3818">
        <f ca="1">ROUND(典型户型修正!R30*典型户型修正!B30/10000,2)</f>
        <v>323.10000000000002</v>
      </c>
      <c r="F11" s="3818">
        <f t="shared" ca="1" si="0"/>
        <v>0.16</v>
      </c>
      <c r="G11" s="3818">
        <f t="shared" ca="1" si="1"/>
        <v>322.94</v>
      </c>
      <c r="H11" s="3816">
        <f ca="1">ROUND(G11/[3]典型户型修正!B33*10000,0)</f>
        <v>29081</v>
      </c>
      <c r="I11" s="3816">
        <f ca="1">典型户型修正!R30</f>
        <v>29095</v>
      </c>
      <c r="J11" s="3816"/>
      <c r="K11" s="3816">
        <v>328.46249999999998</v>
      </c>
      <c r="L11" s="3816">
        <f t="shared" ca="1" si="2"/>
        <v>-5.3624999999999545</v>
      </c>
      <c r="M11">
        <f>面积清单!J9</f>
        <v>111.05</v>
      </c>
      <c r="N11">
        <f t="shared" si="3"/>
        <v>29577.89</v>
      </c>
    </row>
    <row r="12" spans="4:14">
      <c r="D12" s="3818" t="str">
        <f>[3]面积清单!H10</f>
        <v>北京市昌平区回南路9号院28号楼9层908号</v>
      </c>
      <c r="E12" s="3818">
        <f ca="1">ROUND(典型户型修正!R31*典型户型修正!B31/10000,2)</f>
        <v>270.24</v>
      </c>
      <c r="F12" s="3818">
        <f t="shared" ca="1" si="0"/>
        <v>0.14000000000000001</v>
      </c>
      <c r="G12" s="3818">
        <f t="shared" ca="1" si="1"/>
        <v>270.10000000000002</v>
      </c>
      <c r="H12" s="3816">
        <f ca="1">ROUND(G12/[3]典型户型修正!B34*10000,0)</f>
        <v>29368</v>
      </c>
      <c r="I12" s="3816">
        <f ca="1">典型户型修正!R31</f>
        <v>29383</v>
      </c>
      <c r="J12" s="3816"/>
      <c r="K12" s="3816">
        <v>271.22250000000003</v>
      </c>
      <c r="L12" s="3816">
        <f t="shared" ca="1" si="2"/>
        <v>-0.98250000000001592</v>
      </c>
      <c r="M12">
        <f>面积清单!J10</f>
        <v>91.97</v>
      </c>
      <c r="N12">
        <f t="shared" si="3"/>
        <v>29490.32</v>
      </c>
    </row>
    <row r="13" spans="4:14">
      <c r="D13" s="3818" t="str">
        <f>[3]面积清单!H11</f>
        <v>北京市昌平区回南路9号院28号楼9层909号</v>
      </c>
      <c r="E13" s="3818">
        <f ca="1">ROUND(典型户型修正!R32*典型户型修正!B32/10000,2)</f>
        <v>330.61</v>
      </c>
      <c r="F13" s="3818">
        <f t="shared" ca="1" si="0"/>
        <v>0.17</v>
      </c>
      <c r="G13" s="3818">
        <f t="shared" ca="1" si="1"/>
        <v>330.44</v>
      </c>
      <c r="H13" s="3816">
        <f ca="1">ROUND(G13/[3]典型户型修正!B35*10000,0)</f>
        <v>29080</v>
      </c>
      <c r="I13" s="3816">
        <f ca="1">典型户型修正!R32</f>
        <v>29095</v>
      </c>
      <c r="J13" s="3816"/>
      <c r="K13" s="3816">
        <v>336.20249999999999</v>
      </c>
      <c r="L13" s="3816">
        <f t="shared" ca="1" si="2"/>
        <v>-5.5924999999999727</v>
      </c>
      <c r="M13">
        <f>面积清单!J11</f>
        <v>113.63</v>
      </c>
      <c r="N13">
        <f t="shared" si="3"/>
        <v>29587.48</v>
      </c>
    </row>
    <row r="14" spans="4:14">
      <c r="D14" s="3818" t="str">
        <f>[3]面积清单!H12</f>
        <v>北京市昌平区回南路9号院28号楼9层910号</v>
      </c>
      <c r="E14" s="3818">
        <f ca="1">ROUND(典型户型修正!R33*典型户型修正!B33/10000,2)</f>
        <v>270.24</v>
      </c>
      <c r="F14" s="3818">
        <f t="shared" ca="1" si="0"/>
        <v>0.14000000000000001</v>
      </c>
      <c r="G14" s="3818">
        <f t="shared" ca="1" si="1"/>
        <v>270.10000000000002</v>
      </c>
      <c r="H14" s="3816">
        <f ca="1">ROUND(G14/[3]典型户型修正!B36*10000,0)</f>
        <v>29368</v>
      </c>
      <c r="I14" s="3816">
        <f ca="1">典型户型修正!R33</f>
        <v>29383</v>
      </c>
      <c r="J14" s="3816"/>
      <c r="K14" s="3816">
        <v>271.22250000000003</v>
      </c>
      <c r="L14" s="3816">
        <f t="shared" ca="1" si="2"/>
        <v>-0.98250000000001592</v>
      </c>
      <c r="M14">
        <f>面积清单!J12</f>
        <v>91.97</v>
      </c>
      <c r="N14">
        <f t="shared" si="3"/>
        <v>29490.32</v>
      </c>
    </row>
    <row r="15" spans="4:14">
      <c r="D15" s="3818" t="str">
        <f>[3]面积清单!H13</f>
        <v>北京市昌平区回南路9号院28号楼9层911号</v>
      </c>
      <c r="E15" s="3818">
        <f ca="1">ROUND(典型户型修正!R34*典型户型修正!B34/10000,2)</f>
        <v>305.35000000000002</v>
      </c>
      <c r="F15" s="3818">
        <f t="shared" ca="1" si="0"/>
        <v>0.15</v>
      </c>
      <c r="G15" s="3818">
        <f t="shared" ca="1" si="1"/>
        <v>305.20000000000005</v>
      </c>
      <c r="H15" s="3816">
        <f ca="1">ROUND(G15/[3]典型户型修正!B37*10000,0)</f>
        <v>29081</v>
      </c>
      <c r="I15" s="3816">
        <f ca="1">典型户型修正!R34</f>
        <v>29095</v>
      </c>
      <c r="J15" s="3816"/>
      <c r="K15" s="3816">
        <v>310.16250000000002</v>
      </c>
      <c r="L15" s="3816">
        <f t="shared" ca="1" si="2"/>
        <v>-4.8125</v>
      </c>
      <c r="M15">
        <f>面积清单!J13</f>
        <v>104.95</v>
      </c>
      <c r="N15">
        <f t="shared" si="3"/>
        <v>29553.360000000001</v>
      </c>
    </row>
    <row r="16" spans="4:14">
      <c r="D16" s="3818" t="str">
        <f>[3]面积清单!H14</f>
        <v>北京市昌平区回南路9号院28号楼9层912号</v>
      </c>
      <c r="E16" s="3818">
        <f ca="1">ROUND(典型户型修正!R35*典型户型修正!B35/10000,2)</f>
        <v>260.89</v>
      </c>
      <c r="F16" s="3818">
        <f t="shared" ca="1" si="0"/>
        <v>0.13</v>
      </c>
      <c r="G16" s="3818">
        <f t="shared" ca="1" si="1"/>
        <v>260.76</v>
      </c>
      <c r="H16" s="3816">
        <f ca="1">ROUND(G16/[3]典型户型修正!B38*10000,0)</f>
        <v>29368</v>
      </c>
      <c r="I16" s="3816">
        <f ca="1">典型户型修正!R35</f>
        <v>29383</v>
      </c>
      <c r="J16" s="3816"/>
      <c r="K16" s="3816">
        <v>261.6825</v>
      </c>
      <c r="L16" s="3816">
        <f t="shared" ca="1" si="2"/>
        <v>-0.79250000000001819</v>
      </c>
      <c r="M16">
        <f>面积清单!J14</f>
        <v>88.79</v>
      </c>
      <c r="N16">
        <f t="shared" si="3"/>
        <v>29472.07</v>
      </c>
    </row>
    <row r="17" spans="4:14">
      <c r="D17" s="3818" t="str">
        <f>[3]面积清单!H15</f>
        <v>北京市昌平区回南路9号院28号楼9层913号</v>
      </c>
      <c r="E17" s="3818">
        <f ca="1">ROUND(典型户型修正!R36*典型户型修正!B36/10000,2)</f>
        <v>249.02</v>
      </c>
      <c r="F17" s="3818">
        <f t="shared" ca="1" si="0"/>
        <v>0.12</v>
      </c>
      <c r="G17" s="3818">
        <f t="shared" ca="1" si="1"/>
        <v>248.9</v>
      </c>
      <c r="H17" s="3816">
        <f ca="1">ROUND(G17/[3]典型户型修正!B39*10000,0)</f>
        <v>29369</v>
      </c>
      <c r="I17" s="3816">
        <f ca="1">典型户型修正!R36</f>
        <v>29383</v>
      </c>
      <c r="J17" s="3816"/>
      <c r="K17" s="3816">
        <v>249.5625</v>
      </c>
      <c r="L17" s="3816">
        <f t="shared" ca="1" si="2"/>
        <v>-0.54249999999998977</v>
      </c>
      <c r="M17">
        <f>面积清单!J15</f>
        <v>84.75</v>
      </c>
      <c r="N17">
        <f t="shared" si="3"/>
        <v>29446.9</v>
      </c>
    </row>
    <row r="18" spans="4:14">
      <c r="D18" s="3818" t="str">
        <f>[3]面积清单!H16</f>
        <v>北京市昌平区回南路9号院28号楼9层914号</v>
      </c>
      <c r="E18" s="3818">
        <f ca="1">ROUND(典型户型修正!R37*典型户型修正!B37/10000,2)</f>
        <v>226.75</v>
      </c>
      <c r="F18" s="3818">
        <f t="shared" ca="1" si="0"/>
        <v>0.11</v>
      </c>
      <c r="G18" s="3818">
        <f t="shared" ca="1" si="1"/>
        <v>226.64</v>
      </c>
      <c r="H18" s="3816">
        <f ca="1">ROUND(G18/[3]典型户型修正!B40*10000,0)</f>
        <v>29369</v>
      </c>
      <c r="I18" s="3816">
        <f ca="1">典型户型修正!R37</f>
        <v>29383</v>
      </c>
      <c r="J18" s="3816"/>
      <c r="K18" s="3816">
        <v>226.82249999999999</v>
      </c>
      <c r="L18" s="3816">
        <f t="shared" ca="1" si="2"/>
        <v>-7.2499999999990905E-2</v>
      </c>
      <c r="M18">
        <f>面积清单!J16</f>
        <v>77.17</v>
      </c>
      <c r="N18">
        <f t="shared" si="3"/>
        <v>29392.57</v>
      </c>
    </row>
    <row r="19" spans="4:14">
      <c r="D19" s="3818" t="str">
        <f>[3]面积清单!H17</f>
        <v>北京市昌平区回南路9号院28号楼9层915号</v>
      </c>
      <c r="E19" s="3818">
        <f ca="1">ROUND(典型户型修正!R38*典型户型修正!B38/10000,2)</f>
        <v>247.14</v>
      </c>
      <c r="F19" s="3818">
        <f t="shared" ca="1" si="0"/>
        <v>0.12</v>
      </c>
      <c r="G19" s="3818">
        <f t="shared" ca="1" si="1"/>
        <v>247.01999999999998</v>
      </c>
      <c r="H19" s="3816">
        <f ca="1">ROUND(G19/[3]典型户型修正!B41*10000,0)</f>
        <v>29369</v>
      </c>
      <c r="I19" s="3816">
        <f ca="1">典型户型修正!R38</f>
        <v>29383</v>
      </c>
      <c r="J19" s="3816"/>
      <c r="K19" s="3816">
        <v>247.64250000000001</v>
      </c>
      <c r="L19" s="3816">
        <f t="shared" ca="1" si="2"/>
        <v>-0.50250000000002615</v>
      </c>
      <c r="M19">
        <f>面积清单!J17</f>
        <v>84.11</v>
      </c>
      <c r="N19">
        <f t="shared" si="3"/>
        <v>29442.69</v>
      </c>
    </row>
    <row r="20" spans="4:14">
      <c r="D20" s="3818" t="str">
        <f>[3]面积清单!H18</f>
        <v>北京市昌平区回南路9号院28号楼9层916号</v>
      </c>
      <c r="E20" s="3818">
        <f ca="1">ROUND(典型户型修正!R39*典型户型修正!B39/10000,2)</f>
        <v>198.31</v>
      </c>
      <c r="F20" s="3818">
        <f t="shared" ca="1" si="0"/>
        <v>0.1</v>
      </c>
      <c r="G20" s="3818">
        <f t="shared" ca="1" si="1"/>
        <v>198.21</v>
      </c>
      <c r="H20" s="3816">
        <f ca="1">ROUND(G20/[3]典型户型修正!B42*10000,0)</f>
        <v>29369</v>
      </c>
      <c r="I20" s="3816">
        <f ca="1">典型户型修正!R39</f>
        <v>29383</v>
      </c>
      <c r="J20" s="3816"/>
      <c r="K20" s="3816">
        <v>197.7825</v>
      </c>
      <c r="L20" s="3816">
        <f t="shared" ca="1" si="2"/>
        <v>0.52750000000000341</v>
      </c>
      <c r="M20">
        <f>面积清单!J18</f>
        <v>67.489999999999995</v>
      </c>
      <c r="N20">
        <f t="shared" si="3"/>
        <v>29305.45</v>
      </c>
    </row>
    <row r="21" spans="4:14">
      <c r="D21" s="3818" t="s">
        <v>3455</v>
      </c>
      <c r="E21" s="3818">
        <f t="shared" ref="E21:F21" ca="1" si="4">SUM(E5:E20)</f>
        <v>4795.6000000000013</v>
      </c>
      <c r="F21" s="3818">
        <f t="shared" ca="1" si="4"/>
        <v>2.39</v>
      </c>
      <c r="G21" s="3818">
        <f ca="1">SUM(G5:G20)</f>
        <v>4793.21</v>
      </c>
      <c r="H21" s="3820">
        <f ca="1">ROUND(G21/J26*10000,0)</f>
        <v>29191</v>
      </c>
      <c r="I21" s="3816">
        <f ca="1">ROUND(E21/J26*10000,0)</f>
        <v>29206</v>
      </c>
      <c r="J21" s="3816"/>
      <c r="K21" s="3816"/>
      <c r="L21" s="3816"/>
    </row>
    <row r="26" spans="4:14">
      <c r="J26">
        <f>典型户型修正!B22</f>
        <v>1642.01</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70" zoomScaleNormal="100" zoomScaleSheetLayoutView="70" zoomScalePageLayoutView="80" workbookViewId="0">
      <selection activeCell="L74" sqref="L7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3" t="s">
        <v>1265</v>
      </c>
      <c r="B4" s="1754" t="s">
        <v>1266</v>
      </c>
      <c r="C4" s="1755" t="s">
        <v>3433</v>
      </c>
      <c r="D4" s="1755" t="s">
        <v>3422</v>
      </c>
      <c r="E4" s="3600" t="s">
        <v>1267</v>
      </c>
      <c r="F4" s="3601"/>
      <c r="G4" s="3601"/>
      <c r="H4" s="3601"/>
      <c r="I4" s="3602"/>
      <c r="K4" s="146" t="str">
        <f>IF(ISNUMBER(FIND("比较法",'结果表-916净值'!C4)),"比较法",IF(ISNUMBER(FIND("成本法",'结果表-916净值'!C4)),"成本法",IF(ISNUMBER(FIND("假设开发法",'结果表-916净值'!C4)),"假设开发法",IF(ISNUMBER(FIND("收益法",'结果表-916净值'!C4)),"收益法","基准地价系数修正法"))))</f>
        <v>比较法</v>
      </c>
      <c r="L4" s="146" t="str">
        <f>IF(ISNUMBER(FIND("比较法",'结果表-916净值'!D4)),"比较法",IF(ISNUMBER(FIND("成本法",'结果表-916净值'!D4)),"成本法",IF(ISNUMBER(FIND("假设开发法",'结果表-916净值'!D4)),"假设开发法",IF(ISNUMBER(FIND("收益法",'结果表-916净值'!D4)),"收益法","基准地价系数修正法"))))</f>
        <v>收益法</v>
      </c>
    </row>
    <row r="5" spans="1:12" ht="12.75">
      <c r="A5" s="3574" t="s">
        <v>1268</v>
      </c>
      <c r="B5" s="3561">
        <v>25</v>
      </c>
      <c r="C5" s="3577"/>
      <c r="D5" s="3597"/>
      <c r="E5" s="131" t="s">
        <v>1269</v>
      </c>
      <c r="F5" s="1756"/>
      <c r="G5" s="1756"/>
      <c r="H5" s="1756"/>
      <c r="I5" s="1372"/>
    </row>
    <row r="6" spans="1:12" ht="12.75">
      <c r="A6" s="3574"/>
      <c r="B6" s="3561"/>
      <c r="C6" s="3578"/>
      <c r="D6" s="3597"/>
      <c r="E6" s="131" t="s">
        <v>1270</v>
      </c>
      <c r="F6" s="1756"/>
      <c r="G6" s="1756"/>
      <c r="H6" s="1756"/>
      <c r="I6" s="1372"/>
    </row>
    <row r="7" spans="1:12" ht="12.75">
      <c r="A7" s="3574"/>
      <c r="B7" s="3561"/>
      <c r="C7" s="3579"/>
      <c r="D7" s="3597"/>
      <c r="E7" s="131" t="s">
        <v>1271</v>
      </c>
      <c r="F7" s="1756"/>
      <c r="G7" s="1756"/>
      <c r="H7" s="1756"/>
      <c r="I7" s="1372"/>
    </row>
    <row r="8" spans="1:12" ht="12.75">
      <c r="A8" s="3574" t="s">
        <v>1272</v>
      </c>
      <c r="B8" s="3561">
        <v>15</v>
      </c>
      <c r="C8" s="3577"/>
      <c r="D8" s="3597"/>
      <c r="E8" s="131" t="s">
        <v>1273</v>
      </c>
      <c r="F8" s="1756"/>
      <c r="G8" s="1756"/>
      <c r="H8" s="1756"/>
      <c r="I8" s="1372"/>
    </row>
    <row r="9" spans="1:12" ht="12.75">
      <c r="A9" s="3574"/>
      <c r="B9" s="3561"/>
      <c r="C9" s="3579"/>
      <c r="D9" s="3597"/>
      <c r="E9" s="131" t="s">
        <v>1274</v>
      </c>
      <c r="F9" s="1756"/>
      <c r="G9" s="1756"/>
      <c r="H9" s="1756"/>
      <c r="I9" s="1372"/>
    </row>
    <row r="10" spans="1:12" ht="12.75">
      <c r="A10" s="3574" t="s">
        <v>1275</v>
      </c>
      <c r="B10" s="3561">
        <v>15</v>
      </c>
      <c r="C10" s="3577"/>
      <c r="D10" s="3597"/>
      <c r="E10" s="131" t="s">
        <v>1276</v>
      </c>
      <c r="F10" s="1756"/>
      <c r="G10" s="1756"/>
      <c r="H10" s="1756"/>
      <c r="I10" s="1372"/>
    </row>
    <row r="11" spans="1:12" ht="12.75">
      <c r="A11" s="3574"/>
      <c r="B11" s="3561"/>
      <c r="C11" s="3579"/>
      <c r="D11" s="3597"/>
      <c r="E11" s="131" t="s">
        <v>1277</v>
      </c>
      <c r="F11" s="1756"/>
      <c r="G11" s="1756"/>
      <c r="H11" s="1756"/>
      <c r="I11" s="1372"/>
    </row>
    <row r="12" spans="1:12" ht="12.75">
      <c r="A12" s="3574" t="s">
        <v>1278</v>
      </c>
      <c r="B12" s="3561">
        <v>15</v>
      </c>
      <c r="C12" s="3577"/>
      <c r="D12" s="3597"/>
      <c r="E12" s="131" t="s">
        <v>1279</v>
      </c>
      <c r="F12" s="1756"/>
      <c r="G12" s="1756"/>
      <c r="H12" s="1756"/>
      <c r="I12" s="1372"/>
    </row>
    <row r="13" spans="1:12" ht="12.75">
      <c r="A13" s="3574"/>
      <c r="B13" s="3561"/>
      <c r="C13" s="3579"/>
      <c r="D13" s="3597"/>
      <c r="E13" s="131" t="s">
        <v>1280</v>
      </c>
      <c r="F13" s="1756"/>
      <c r="G13" s="1756"/>
      <c r="H13" s="1756"/>
      <c r="I13" s="1372"/>
    </row>
    <row r="14" spans="1:12" ht="12.75">
      <c r="A14" s="3574" t="s">
        <v>1281</v>
      </c>
      <c r="B14" s="3561">
        <v>30</v>
      </c>
      <c r="C14" s="3577">
        <v>6</v>
      </c>
      <c r="D14" s="3597">
        <v>4</v>
      </c>
      <c r="E14" s="131" t="s">
        <v>1282</v>
      </c>
      <c r="F14" s="1756"/>
      <c r="G14" s="1756"/>
      <c r="H14" s="1756"/>
      <c r="I14" s="1372"/>
    </row>
    <row r="15" spans="1:12" ht="12.75">
      <c r="A15" s="3574"/>
      <c r="B15" s="3561"/>
      <c r="C15" s="3578"/>
      <c r="D15" s="3597"/>
      <c r="E15" s="131" t="s">
        <v>1283</v>
      </c>
      <c r="F15" s="1756"/>
      <c r="G15" s="1756"/>
      <c r="H15" s="1756"/>
      <c r="I15" s="1372"/>
    </row>
    <row r="16" spans="1:12" ht="12.75">
      <c r="A16" s="3574"/>
      <c r="B16" s="3561"/>
      <c r="C16" s="3579"/>
      <c r="D16" s="359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4" t="s">
        <v>2130</v>
      </c>
      <c r="F18" s="3585"/>
      <c r="G18" s="3585"/>
      <c r="H18" s="3585"/>
      <c r="I18" s="3585"/>
      <c r="K18" s="302" t="s">
        <v>1289</v>
      </c>
      <c r="L18" s="302">
        <f>IF(C1="",'数据-汇总表'!E3,SUMIF(项目类型,C1,'数据-汇总表'!E17:E26)+SUMIF(项目类型,C1,'数据-汇总表'!I17:I26))</f>
        <v>229.53</v>
      </c>
      <c r="M18" s="302">
        <f>IF(C1="",'数据-汇总表'!E3,SUMIF(项目类型,C1,'数据-汇总表'!E17:E26))</f>
        <v>229.53</v>
      </c>
    </row>
    <row r="19" spans="1:36" ht="15">
      <c r="A19" s="1760" t="s">
        <v>1290</v>
      </c>
      <c r="B19" s="1761" t="s">
        <v>1291</v>
      </c>
      <c r="C19" s="134">
        <f ca="1">SUMIF(INDIRECT("'"&amp;C4&amp;"'"&amp;"!A:A"),'结果表-916净值'!B19,INDIRECT("'"&amp;C4&amp;"'"&amp;"!B:B"))</f>
        <v>814.67079999999999</v>
      </c>
      <c r="D19" s="135">
        <f ca="1">SUMIF(INDIRECT("'"&amp;D4&amp;"'"&amp;"!A:A"),'结果表-916净值'!B19,INDIRECT("'"&amp;D4&amp;"'"&amp;"!B:B"))</f>
        <v>431.03570000000002</v>
      </c>
      <c r="E19" s="1760" t="s">
        <v>1292</v>
      </c>
      <c r="F19" s="1761" t="s">
        <v>1291</v>
      </c>
      <c r="G19" s="136">
        <f ca="1">ROUND(C19*$C$18+D19*$D$18,0)</f>
        <v>661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SUMIF(INDIRECT("'"&amp;C4&amp;"'"&amp;"!A:A"),'结果表-916净值'!B20,INDIRECT("'"&amp;C4&amp;"'"&amp;"!B:B"))</f>
        <v>35493</v>
      </c>
      <c r="D20" s="138">
        <f ca="1">SUMIF(INDIRECT("'"&amp;D4&amp;"'"&amp;"!A:A"),'结果表-916净值'!B20,INDIRECT("'"&amp;D4&amp;"'"&amp;"!B:B"))</f>
        <v>18779</v>
      </c>
      <c r="E20" s="1763"/>
      <c r="F20" s="1025" t="s">
        <v>1295</v>
      </c>
      <c r="G20" s="139">
        <f ca="1">ROUND(C20*$C$18+D20*$D$18,0)</f>
        <v>28807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0.89003091855268579</v>
      </c>
      <c r="E22" s="129"/>
      <c r="F22" s="129"/>
      <c r="G22" s="129"/>
      <c r="H22" s="129"/>
      <c r="I22" s="129"/>
    </row>
    <row r="23" spans="1:36" ht="13.5" thickBot="1">
      <c r="A23" s="1746"/>
      <c r="B23" s="1746"/>
      <c r="C23" s="1746"/>
      <c r="D23" s="1746"/>
      <c r="E23" s="129"/>
      <c r="F23" s="129"/>
      <c r="G23" s="129"/>
      <c r="H23" s="129"/>
      <c r="I23" s="129"/>
    </row>
    <row r="24" spans="1:36" ht="14.25">
      <c r="A24" s="3568" t="s">
        <v>1299</v>
      </c>
      <c r="B24" s="1761" t="s">
        <v>1291</v>
      </c>
      <c r="C24" s="136">
        <f>IF(B30=0,0,D30)</f>
        <v>0</v>
      </c>
      <c r="D24" s="1768"/>
      <c r="E24" s="129"/>
      <c r="F24" s="129"/>
      <c r="G24" s="129"/>
      <c r="H24" s="129"/>
      <c r="I24" s="129"/>
    </row>
    <row r="25" spans="1:36" ht="14.25">
      <c r="A25" s="356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28807</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8" t="s">
        <v>1312</v>
      </c>
      <c r="B36" s="1786" t="s">
        <v>1313</v>
      </c>
      <c r="C36" s="145"/>
      <c r="D36" s="1787"/>
      <c r="E36" s="1788"/>
      <c r="F36" s="1789"/>
      <c r="G36" s="129"/>
      <c r="H36" s="129"/>
      <c r="I36" s="129"/>
    </row>
    <row r="37" spans="1:15" ht="15.75" thickBot="1">
      <c r="A37" s="3589"/>
      <c r="B37" s="1673" t="s">
        <v>1314</v>
      </c>
      <c r="C37" s="147"/>
      <c r="D37" s="1138"/>
      <c r="E37" s="1138"/>
      <c r="F37" s="1789"/>
      <c r="G37" s="129"/>
      <c r="H37" s="129"/>
      <c r="I37" s="129"/>
    </row>
    <row r="38" spans="1:15" ht="15.75" thickBot="1">
      <c r="A38" s="3590"/>
      <c r="B38" s="1790" t="s">
        <v>1315</v>
      </c>
      <c r="C38" s="673"/>
      <c r="D38" s="1791" t="s">
        <v>1316</v>
      </c>
      <c r="E38" s="1138"/>
      <c r="F38" s="1789"/>
      <c r="G38" s="129"/>
      <c r="H38" s="129"/>
      <c r="I38" s="129"/>
    </row>
    <row r="39" spans="1:15" ht="15">
      <c r="A39" s="1763" t="s">
        <v>1317</v>
      </c>
      <c r="B39" s="1792" t="s">
        <v>1301</v>
      </c>
      <c r="C39" s="1793" t="s">
        <v>1302</v>
      </c>
      <c r="D39" s="1793" t="s">
        <v>1320</v>
      </c>
      <c r="E39" s="1794" t="s">
        <v>1303</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5" t="s">
        <v>1326</v>
      </c>
      <c r="B45" s="3566"/>
      <c r="C45" s="3567"/>
      <c r="D45" s="155">
        <f ca="1">Sheet2!E20</f>
        <v>198.31</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5"/>
      <c r="I46" s="159"/>
      <c r="J46" s="3452">
        <v>1</v>
      </c>
      <c r="K46" s="3624" t="s">
        <v>1331</v>
      </c>
      <c r="L46" s="3624"/>
      <c r="M46" s="3644"/>
      <c r="N46" s="3644"/>
      <c r="O46" s="3644"/>
    </row>
    <row r="47" spans="1:15" ht="12" customHeight="1">
      <c r="A47" s="160" t="s">
        <v>1332</v>
      </c>
      <c r="B47" s="161"/>
      <c r="C47" s="162"/>
      <c r="D47" s="1086" t="s">
        <v>1333</v>
      </c>
      <c r="E47" s="302" t="s">
        <v>1334</v>
      </c>
      <c r="F47" s="163" t="s">
        <v>1335</v>
      </c>
      <c r="G47" s="2545" t="s">
        <v>1336</v>
      </c>
      <c r="H47" s="2546"/>
      <c r="I47" s="159"/>
      <c r="J47" s="3452">
        <v>2</v>
      </c>
      <c r="K47" s="3624" t="s">
        <v>1337</v>
      </c>
      <c r="L47" s="3624"/>
      <c r="M47" s="3645">
        <f>'数据-取费表'!B2</f>
        <v>44930</v>
      </c>
      <c r="N47" s="3645"/>
      <c r="O47" s="3645"/>
    </row>
    <row r="48" spans="1:15" ht="25.5">
      <c r="A48" s="3593" t="s">
        <v>1338</v>
      </c>
      <c r="B48" s="3576"/>
      <c r="C48" s="3576"/>
      <c r="D48" s="3449">
        <f ca="1">IF(H48="情况1",0,IF(H48="情况2",D52,IF(H48="情况3",D53,IF(H48="情况4",D54))))</f>
        <v>0</v>
      </c>
      <c r="E48" s="3462" t="str">
        <f>IF(H48="情况4","(销售额-原购置价)×税（费）率","销售额×税（费）率")</f>
        <v>(销售额-原购置价)×税（费）率</v>
      </c>
      <c r="F48" s="2547">
        <f>IF(H48="情况1","免征",'数据-取费表'!B41)</f>
        <v>5.5000000000000007E-2</v>
      </c>
      <c r="G48" s="2548" t="s">
        <v>1339</v>
      </c>
      <c r="H48" s="2549" t="s">
        <v>3456</v>
      </c>
      <c r="I48" s="1805"/>
      <c r="J48" s="3452">
        <v>3</v>
      </c>
      <c r="K48" s="3624" t="s">
        <v>1340</v>
      </c>
      <c r="L48" s="3624"/>
      <c r="M48" s="3646">
        <f ca="1">H101</f>
        <v>661</v>
      </c>
      <c r="N48" s="3646"/>
      <c r="O48" s="3646"/>
    </row>
    <row r="49" spans="1:35" ht="25.5" customHeight="1">
      <c r="A49" s="3461" t="s">
        <v>1341</v>
      </c>
      <c r="B49" s="3560" t="s">
        <v>1342</v>
      </c>
      <c r="C49" s="3560"/>
      <c r="D49" s="1589">
        <v>0</v>
      </c>
      <c r="E49" s="324" t="s">
        <v>1343</v>
      </c>
      <c r="F49" s="3447" t="s">
        <v>28</v>
      </c>
      <c r="G49" s="3630"/>
      <c r="H49" s="2309" t="s">
        <v>2133</v>
      </c>
      <c r="I49" s="2310"/>
      <c r="J49" s="3452">
        <v>4</v>
      </c>
      <c r="K49" s="3624" t="str">
        <f>IF(项目基本情况!E8="房地产抵押价值","房地产抵押价值","抵押担保权已注销时的房地产抵押价值")</f>
        <v>房地产抵押价值</v>
      </c>
      <c r="L49" s="3624"/>
      <c r="M49" s="3646">
        <f ca="1">IF(项目基本情况!E8="房地产抵押价值",H107,H109)</f>
        <v>661</v>
      </c>
      <c r="N49" s="3646"/>
      <c r="O49" s="3646"/>
    </row>
    <row r="50" spans="1:35" ht="25.5" customHeight="1">
      <c r="A50" s="2550"/>
      <c r="B50" s="3560" t="s">
        <v>1344</v>
      </c>
      <c r="C50" s="3560"/>
      <c r="D50" s="2551"/>
      <c r="E50" s="332"/>
      <c r="F50" s="3447"/>
      <c r="G50" s="3631"/>
      <c r="H50" s="2311" t="s">
        <v>2134</v>
      </c>
      <c r="I50" s="2310"/>
      <c r="J50" s="3643" t="s">
        <v>1345</v>
      </c>
      <c r="K50" s="3643"/>
      <c r="L50" s="3643"/>
      <c r="M50" s="3643"/>
      <c r="N50" s="3643"/>
      <c r="O50" s="3643"/>
    </row>
    <row r="51" spans="1:35" ht="20.45" customHeight="1">
      <c r="A51" s="2552"/>
      <c r="B51" s="3560" t="s">
        <v>1346</v>
      </c>
      <c r="C51" s="3560"/>
      <c r="D51" s="1086"/>
      <c r="E51" s="327"/>
      <c r="F51" s="3447"/>
      <c r="G51" s="3632"/>
      <c r="H51" s="2311" t="s">
        <v>2135</v>
      </c>
      <c r="I51" s="2310"/>
      <c r="J51" s="3448" t="s">
        <v>1347</v>
      </c>
      <c r="K51" s="3624" t="s">
        <v>1348</v>
      </c>
      <c r="L51" s="3624"/>
      <c r="M51" s="3448" t="s">
        <v>1349</v>
      </c>
      <c r="N51" s="3448" t="s">
        <v>1350</v>
      </c>
      <c r="O51" s="3448" t="s">
        <v>1351</v>
      </c>
    </row>
    <row r="52" spans="1:35" ht="24" customHeight="1">
      <c r="A52" s="3463" t="s">
        <v>1352</v>
      </c>
      <c r="B52" s="3560" t="s">
        <v>1353</v>
      </c>
      <c r="C52" s="3560"/>
      <c r="D52" s="1086">
        <f ca="1">ROUND(D45*'数据-取费表'!B41/(1+'数据-取费表'!C42),0)</f>
        <v>10</v>
      </c>
      <c r="E52" s="3462" t="s">
        <v>1354</v>
      </c>
      <c r="F52" s="2553">
        <f>'数据-取费表'!B41</f>
        <v>5.5000000000000007E-2</v>
      </c>
      <c r="G52" s="2554"/>
      <c r="H52" s="2543"/>
      <c r="I52" s="1806"/>
      <c r="J52" s="3452">
        <v>1</v>
      </c>
      <c r="K52" s="3625" t="s">
        <v>1355</v>
      </c>
      <c r="L52" s="3625"/>
      <c r="M52" s="2524">
        <f ca="1">D48</f>
        <v>0</v>
      </c>
      <c r="N52" s="3452" t="str">
        <f>E48</f>
        <v>(销售额-原购置价)×税（费）率</v>
      </c>
      <c r="O52" s="2525">
        <f>F48</f>
        <v>5.5000000000000007E-2</v>
      </c>
    </row>
    <row r="53" spans="1:35" ht="12" customHeight="1">
      <c r="A53" s="3463" t="s">
        <v>1356</v>
      </c>
      <c r="B53" s="3586" t="s">
        <v>2290</v>
      </c>
      <c r="C53" s="3587"/>
      <c r="D53" s="1086">
        <f ca="1">ROUND(D45*'数据-取费表'!B41/(1+'数据-取费表'!C42),0)</f>
        <v>10</v>
      </c>
      <c r="E53" s="3462" t="s">
        <v>1354</v>
      </c>
      <c r="F53" s="2553">
        <f>'数据-取费表'!B41</f>
        <v>5.5000000000000007E-2</v>
      </c>
      <c r="G53" s="2554"/>
      <c r="H53" s="2543"/>
      <c r="I53" s="1806"/>
      <c r="J53" s="3452">
        <v>2</v>
      </c>
      <c r="K53" s="3625" t="s">
        <v>1357</v>
      </c>
      <c r="L53" s="3625"/>
      <c r="M53" s="2524">
        <f t="shared" ref="M53:O54" ca="1" si="0">D55</f>
        <v>0</v>
      </c>
      <c r="N53" s="3452" t="str">
        <f t="shared" si="0"/>
        <v>销售额×税（费）率</v>
      </c>
      <c r="O53" s="2525">
        <f t="shared" si="0"/>
        <v>5.0000000000000001E-4</v>
      </c>
    </row>
    <row r="54" spans="1:35" ht="12" customHeight="1">
      <c r="A54" s="3463" t="s">
        <v>1358</v>
      </c>
      <c r="B54" s="3586" t="s">
        <v>2291</v>
      </c>
      <c r="C54" s="3587"/>
      <c r="D54" s="1086">
        <f ca="1">C68</f>
        <v>0</v>
      </c>
      <c r="E54" s="327" t="s">
        <v>1359</v>
      </c>
      <c r="F54" s="2553">
        <f>'数据-取费表'!B41</f>
        <v>5.5000000000000007E-2</v>
      </c>
      <c r="G54" s="2554"/>
      <c r="H54" s="2555"/>
      <c r="I54" s="1806"/>
      <c r="J54" s="3452">
        <v>3</v>
      </c>
      <c r="K54" s="3625" t="s">
        <v>1360</v>
      </c>
      <c r="L54" s="3625"/>
      <c r="M54" s="2524">
        <f t="shared" ca="1" si="0"/>
        <v>0</v>
      </c>
      <c r="N54" s="3452" t="str">
        <f t="shared" si="0"/>
        <v>增值额×税（费）率</v>
      </c>
      <c r="O54" s="2526" t="str">
        <f t="shared" si="0"/>
        <v>——</v>
      </c>
    </row>
    <row r="55" spans="1:35" ht="24" customHeight="1">
      <c r="A55" s="3575" t="s">
        <v>1361</v>
      </c>
      <c r="B55" s="3576"/>
      <c r="C55" s="3576"/>
      <c r="D55" s="3449">
        <f ca="1">IF(H55="个人住宅",0,ROUND(D45*I55,0))</f>
        <v>0</v>
      </c>
      <c r="E55" s="3462" t="s">
        <v>1362</v>
      </c>
      <c r="F55" s="2553">
        <f>IF(H55="正常",I55,"免征")</f>
        <v>5.0000000000000001E-4</v>
      </c>
      <c r="G55" s="2554"/>
      <c r="H55" s="2549" t="s">
        <v>3427</v>
      </c>
      <c r="I55" s="165">
        <f>'数据-取费表'!B49</f>
        <v>5.0000000000000001E-4</v>
      </c>
      <c r="J55" s="3452" t="str">
        <f>IF(H59="非个人房产","",4)</f>
        <v/>
      </c>
      <c r="K55" s="3625" t="str">
        <f>IF(H59="非个人房产","——","个人所得税")</f>
        <v>——</v>
      </c>
      <c r="L55" s="3625"/>
      <c r="M55" s="2527" t="str">
        <f>D59</f>
        <v>——</v>
      </c>
      <c r="N55" s="3453" t="str">
        <f>E59</f>
        <v>——</v>
      </c>
      <c r="O55" s="2528" t="str">
        <f>F59</f>
        <v>——</v>
      </c>
    </row>
    <row r="56" spans="1:35" ht="24.75">
      <c r="A56" s="3575" t="s">
        <v>1363</v>
      </c>
      <c r="B56" s="3576"/>
      <c r="C56" s="3576"/>
      <c r="D56" s="3449">
        <f ca="1">IF(H56="个人住宅",D57,D58)</f>
        <v>0</v>
      </c>
      <c r="E56" s="3462" t="s">
        <v>1364</v>
      </c>
      <c r="F56" s="2553" t="str">
        <f>IF(H56="正常",F58,"免征")</f>
        <v>——</v>
      </c>
      <c r="G56" s="2556" t="s">
        <v>1365</v>
      </c>
      <c r="H56" s="2557" t="s">
        <v>3427</v>
      </c>
      <c r="I56" s="1807"/>
      <c r="J56" s="345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2.75">
      <c r="A57" s="3463" t="s">
        <v>1341</v>
      </c>
      <c r="B57" s="3586" t="s">
        <v>1366</v>
      </c>
      <c r="C57" s="3587"/>
      <c r="D57" s="1589">
        <v>0</v>
      </c>
      <c r="E57" s="324" t="s">
        <v>1343</v>
      </c>
      <c r="F57" s="302"/>
      <c r="G57" s="2554"/>
      <c r="H57" s="2558"/>
      <c r="I57" s="1807"/>
      <c r="J57" s="3625">
        <f>IF(AND(J55="",J56=""),4,IF(项目基本情况!K6="上海银行",'结果表-916净值'!J56+1,'结果表-916净值'!J55+1))</f>
        <v>4</v>
      </c>
      <c r="K57" s="3625" t="s">
        <v>1367</v>
      </c>
      <c r="L57" s="2529" t="s">
        <v>1368</v>
      </c>
      <c r="M57" s="2530"/>
      <c r="N57" s="2531">
        <f ca="1">SUMIF(M52:M56,"&lt;9e307")</f>
        <v>0</v>
      </c>
      <c r="O57" s="2532"/>
      <c r="P57" s="2689">
        <f ca="1">N57/M49</f>
        <v>0</v>
      </c>
    </row>
    <row r="58" spans="1:35" ht="24.75">
      <c r="A58" s="3463" t="s">
        <v>1352</v>
      </c>
      <c r="B58" s="3586" t="s">
        <v>1369</v>
      </c>
      <c r="C58" s="3560"/>
      <c r="D58" s="3449">
        <f ca="1">IF(H58="转让取得",C81,C97)</f>
        <v>0</v>
      </c>
      <c r="E58" s="3462" t="s">
        <v>1364</v>
      </c>
      <c r="F58" s="302" t="s">
        <v>28</v>
      </c>
      <c r="G58" s="2554"/>
      <c r="H58" s="2557" t="s">
        <v>3457</v>
      </c>
      <c r="I58" s="1807"/>
      <c r="J58" s="3625"/>
      <c r="K58" s="3625"/>
      <c r="L58" s="2529" t="s">
        <v>1370</v>
      </c>
      <c r="M58" s="2533"/>
      <c r="N58" s="2534" t="str">
        <f ca="1">NUMBERSTRING(INT(N57*10000),2)&amp;"元整"</f>
        <v>零元整</v>
      </c>
      <c r="O58" s="2535"/>
    </row>
    <row r="59" spans="1:35" ht="24.75" thickBot="1">
      <c r="A59" s="3628" t="s">
        <v>1371</v>
      </c>
      <c r="B59" s="3629"/>
      <c r="C59" s="362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3458</v>
      </c>
      <c r="I59" s="2312" t="s">
        <v>2136</v>
      </c>
      <c r="J59" s="3626">
        <f>J57+1</f>
        <v>5</v>
      </c>
      <c r="K59" s="3625" t="s">
        <v>1372</v>
      </c>
      <c r="L59" s="3452" t="s">
        <v>1368</v>
      </c>
      <c r="M59" s="2536"/>
      <c r="N59" s="2537">
        <f ca="1">M49-N57</f>
        <v>661</v>
      </c>
      <c r="O59" s="2538"/>
    </row>
    <row r="60" spans="1:35" ht="12" customHeight="1">
      <c r="A60" s="1808"/>
      <c r="B60" s="1746"/>
      <c r="C60" s="1746"/>
      <c r="D60" s="1746"/>
      <c r="E60" s="1577"/>
      <c r="F60" s="1807"/>
      <c r="G60" s="1807"/>
      <c r="H60" s="1809"/>
      <c r="I60" s="129"/>
      <c r="J60" s="3627"/>
      <c r="K60" s="3625"/>
      <c r="L60" s="2529" t="s">
        <v>1370</v>
      </c>
      <c r="M60" s="2533"/>
      <c r="N60" s="2534" t="str">
        <f ca="1">NUMBERSTRING(INT(N59*10000),2)&amp;"元整"</f>
        <v>陆佰陆拾壹万元整</v>
      </c>
      <c r="O60" s="2535"/>
    </row>
    <row r="61" spans="1:35" ht="13.5" thickBot="1">
      <c r="A61" s="3573" t="s">
        <v>1373</v>
      </c>
      <c r="B61" s="3573"/>
      <c r="C61" s="3573"/>
      <c r="D61" s="3573"/>
      <c r="E61" s="3573"/>
      <c r="F61" s="1807"/>
      <c r="G61" s="1807"/>
      <c r="H61" s="1809"/>
      <c r="I61" s="129"/>
      <c r="J61" s="3452">
        <f>J59+1</f>
        <v>6</v>
      </c>
      <c r="K61" s="3625" t="s">
        <v>1374</v>
      </c>
      <c r="L61" s="3625"/>
      <c r="M61" s="2539"/>
      <c r="N61" s="2540">
        <f ca="1">ROUND(N59*10000/'数据-汇总表'!E3,0)</f>
        <v>28798</v>
      </c>
      <c r="O61" s="2541"/>
    </row>
    <row r="62" spans="1:35" ht="12.75">
      <c r="A62" s="3591" t="s">
        <v>1375</v>
      </c>
      <c r="B62" s="3592"/>
      <c r="C62" s="3457"/>
      <c r="D62" s="3457" t="s">
        <v>1376</v>
      </c>
      <c r="E62" s="166" t="s">
        <v>1377</v>
      </c>
      <c r="F62" s="1807"/>
      <c r="G62" s="1807"/>
      <c r="H62" s="1809"/>
      <c r="I62" s="129"/>
    </row>
    <row r="63" spans="1:35" ht="12.75">
      <c r="A63" s="173" t="s">
        <v>330</v>
      </c>
      <c r="B63" s="167" t="s">
        <v>1378</v>
      </c>
      <c r="C63" s="2563">
        <f ca="1">ROUND((C64+C65)/(1+'数据-取费表'!C42),0)</f>
        <v>189</v>
      </c>
      <c r="D63" s="167"/>
      <c r="E63" s="168"/>
      <c r="F63" s="1807"/>
      <c r="G63" s="1807"/>
      <c r="H63" s="1809"/>
      <c r="I63" s="129"/>
      <c r="J63" s="3650" t="s">
        <v>1379</v>
      </c>
      <c r="K63" s="3450" t="s">
        <v>1380</v>
      </c>
      <c r="L63" s="3450">
        <f ca="1">IF(M49&gt;10000,M49*0.5%,IF(AND(M49&gt;1000,M49&lt;=10000),M49*1%,IF(AND(M49&gt;100,M49&lt;=1000),M49*3%,IF(AND(M49&gt;10,M49&lt;=100),M49*5%,M49*8%))))</f>
        <v>19.829999999999998</v>
      </c>
      <c r="M63" s="302">
        <f ca="1">ROUND(L63,1)</f>
        <v>19.8</v>
      </c>
      <c r="N63" s="2542"/>
      <c r="Z63" s="1751"/>
      <c r="AI63" s="1752"/>
    </row>
    <row r="64" spans="1:35" ht="14.25" customHeight="1">
      <c r="A64" s="169" t="s">
        <v>325</v>
      </c>
      <c r="B64" s="170" t="s">
        <v>1381</v>
      </c>
      <c r="C64" s="2564">
        <f ca="1">D45</f>
        <v>198.31</v>
      </c>
      <c r="D64" s="170" t="s">
        <v>26</v>
      </c>
      <c r="E64" s="172"/>
      <c r="F64" s="1807"/>
      <c r="G64" s="1807"/>
      <c r="H64" s="1809"/>
      <c r="I64" s="129"/>
      <c r="J64" s="3650"/>
      <c r="K64" s="3450" t="s">
        <v>1382</v>
      </c>
      <c r="L64" s="3450">
        <f ca="1">IF(M49&gt;2000,M49*0.5%,IF(AND(M49&gt;1000,M49&lt;=2000),M49*0.6%,IF(AND(M49&gt;500,M49&lt;=1000),M49*0.7%,IF(AND(M49&gt;200,M49&lt;=500),M49*0.8%,IF(AND(M49&gt;100,M49&lt;=200),M49*0.9%,IF(AND(M49&gt;50,M49&lt;=100),M49*1%,IF(AND(M49&gt;20,M49&lt;=50),M49*1.5%,IF(AND(M49&gt;10,M49&lt;=20),M49*2%,IF(AND(M49&gt;1,M49&lt;=10),M49*2.5%)))))))))</f>
        <v>4.6269999999999998</v>
      </c>
      <c r="M64" s="302">
        <f t="shared" ref="M64:M65" ca="1" si="1">ROUND(L64,1)</f>
        <v>4.5999999999999996</v>
      </c>
      <c r="N64" s="2543" t="s">
        <v>1383</v>
      </c>
      <c r="Z64" s="1751"/>
      <c r="AI64" s="1752"/>
    </row>
    <row r="65" spans="1:35" ht="14.25" customHeight="1">
      <c r="A65" s="169" t="s">
        <v>326</v>
      </c>
      <c r="B65" s="170" t="s">
        <v>1384</v>
      </c>
      <c r="C65" s="2565"/>
      <c r="D65" s="170"/>
      <c r="E65" s="172"/>
      <c r="F65" s="1807"/>
      <c r="G65" s="1807"/>
      <c r="H65" s="1809"/>
      <c r="I65" s="129"/>
      <c r="J65" s="3650"/>
      <c r="K65" s="3450" t="s">
        <v>1385</v>
      </c>
      <c r="L65" s="3450">
        <f ca="1">IF(M49&gt;1000,M49*0.1%,IF(AND(M49&gt;500,M49&lt;=1000),M49*0.5%,IF(AND(M49&gt;50,M49&lt;=500),M49*1%,IF(AND(M49&gt;1,M49&lt;=50),M49*1.5%))))</f>
        <v>3.3050000000000002</v>
      </c>
      <c r="M65" s="302">
        <f t="shared" ca="1" si="1"/>
        <v>3.3</v>
      </c>
      <c r="N65" s="2543" t="s">
        <v>1383</v>
      </c>
      <c r="Z65" s="1751"/>
      <c r="AI65" s="1752"/>
    </row>
    <row r="66" spans="1:35" ht="14.25" customHeight="1">
      <c r="A66" s="173" t="s">
        <v>327</v>
      </c>
      <c r="B66" s="174" t="s">
        <v>1386</v>
      </c>
      <c r="C66" s="2566">
        <f>Sheet2!K20*1.05</f>
        <v>207.67162500000001</v>
      </c>
      <c r="D66" s="174" t="s">
        <v>26</v>
      </c>
      <c r="E66" s="1337" t="s">
        <v>671</v>
      </c>
      <c r="F66" s="1807"/>
      <c r="G66" s="1807"/>
      <c r="H66" s="1809"/>
      <c r="I66" s="129"/>
      <c r="J66" s="3650"/>
      <c r="K66" s="3450" t="s">
        <v>1387</v>
      </c>
      <c r="L66" s="3450">
        <f ca="1">M49*0.5%</f>
        <v>3.3050000000000002</v>
      </c>
      <c r="M66" s="302">
        <f ca="1">IF(L66&gt;0.5,0.5,ROUND(L66,0))</f>
        <v>0.5</v>
      </c>
      <c r="N66" s="2543" t="s">
        <v>1388</v>
      </c>
      <c r="Z66" s="1751"/>
      <c r="AI66" s="1752"/>
    </row>
    <row r="67" spans="1:35" ht="14.25" customHeight="1">
      <c r="A67" s="173" t="s">
        <v>328</v>
      </c>
      <c r="B67" s="174" t="s">
        <v>1389</v>
      </c>
      <c r="C67" s="2567">
        <f ca="1">C63-C66</f>
        <v>-18.671625000000006</v>
      </c>
      <c r="D67" s="170" t="s">
        <v>26</v>
      </c>
      <c r="E67" s="172"/>
      <c r="F67" s="1807"/>
      <c r="G67" s="1807"/>
      <c r="H67" s="1809"/>
      <c r="I67" s="129"/>
      <c r="J67" s="3650"/>
      <c r="K67" s="3450" t="s">
        <v>1390</v>
      </c>
      <c r="L67" s="3450">
        <f ca="1">IF(M49&gt;=10000,(8.25+(M49-10000)*0.01%),IF(AND(M49&gt;=8000,M49&lt;10000),(7.85+(M49-8000)*0.02%),IF(AND(M49&gt;=5000,M49&lt;8000),(6.65+(M49-5000)*0.04%),IF(AND(M49&gt;=2000,M49&lt;5000),(4.25+(PM49-2000)*0.08%),IF(AND(M49&gt;=1000,M49&lt;2000),(2.75+(M49-1000)*0.15%),IF(AND(M49&gt;=100,M49&lt;1000),(0.5+(M49-100)*0.25%),IF(AND(M49&gt;0,M49&lt;100),M49*0.5%)))))))</f>
        <v>1.9025000000000001</v>
      </c>
      <c r="M67" s="302">
        <f ca="1">ROUND(L67*0.9,1)</f>
        <v>1.7</v>
      </c>
      <c r="N67" s="2542"/>
      <c r="Z67" s="1751"/>
      <c r="AI67" s="1752"/>
    </row>
    <row r="68" spans="1:35" ht="14.25" customHeight="1" thickBot="1">
      <c r="A68" s="176" t="s">
        <v>329</v>
      </c>
      <c r="B68" s="177" t="s">
        <v>1391</v>
      </c>
      <c r="C68" s="2568">
        <f ca="1">IF(C67&lt;=0,0,ROUND(C67*D68,0))</f>
        <v>0</v>
      </c>
      <c r="D68" s="2569">
        <f>'数据-取费表'!B41</f>
        <v>5.5000000000000007E-2</v>
      </c>
      <c r="E68" s="178"/>
      <c r="F68" s="1807"/>
      <c r="G68" s="1807"/>
      <c r="H68" s="1809"/>
      <c r="I68" s="129"/>
      <c r="J68" s="3650"/>
      <c r="K68" s="3450" t="s">
        <v>1392</v>
      </c>
      <c r="L68" s="3450">
        <f ca="1">IF(M49&gt;10000,M49*0.5%,IF(AND(M49&gt;5000,M49&lt;=10000),M49*1%,IF(AND(M49&gt;1000,M49&lt;=5000),M49*2%,IF(AND(M49&gt;200,M49&lt;=1000),M49*3%,M49*5%))))</f>
        <v>19.829999999999998</v>
      </c>
      <c r="M68" s="302">
        <f ca="1">ROUND(L68,1)</f>
        <v>19.8</v>
      </c>
      <c r="N68" s="2542"/>
      <c r="Z68" s="1751"/>
      <c r="AI68" s="1752"/>
    </row>
    <row r="69" spans="1:35" s="1771" customFormat="1" ht="16.5" customHeight="1">
      <c r="A69" s="1810"/>
      <c r="B69" s="1811"/>
      <c r="C69" s="1812"/>
      <c r="D69" s="1813"/>
      <c r="E69" s="1814"/>
      <c r="F69" s="1577"/>
      <c r="G69" s="1577"/>
      <c r="H69" s="1576"/>
      <c r="I69" s="1746"/>
      <c r="J69" s="3650"/>
      <c r="K69" s="3450" t="s">
        <v>1393</v>
      </c>
      <c r="L69" s="3450"/>
      <c r="M69" s="302">
        <f ca="1">ROUND(SUM(M63:M68),0)</f>
        <v>50</v>
      </c>
      <c r="N69" s="2544">
        <f ca="1">M69/M49</f>
        <v>7.564296520423601E-2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2" t="s">
        <v>1394</v>
      </c>
      <c r="B70" s="3613"/>
      <c r="C70" s="3613"/>
      <c r="D70" s="3613"/>
      <c r="E70" s="3613"/>
      <c r="F70" s="3613"/>
      <c r="G70" s="3613"/>
      <c r="H70" s="361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3457"/>
      <c r="D71" s="3457"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189</v>
      </c>
      <c r="D72" s="170" t="s">
        <v>26</v>
      </c>
      <c r="E72" s="3459"/>
      <c r="F72" s="3458"/>
      <c r="G72" s="3458"/>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195</v>
      </c>
      <c r="D73" s="170" t="s">
        <v>26</v>
      </c>
      <c r="E73" s="3459"/>
      <c r="F73" s="3458"/>
      <c r="G73" s="345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194</v>
      </c>
      <c r="D74" s="170" t="s">
        <v>26</v>
      </c>
      <c r="E74" s="3459"/>
      <c r="F74" s="3458"/>
      <c r="G74" s="345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f>Sheet2!K20</f>
        <v>197.7825</v>
      </c>
      <c r="D75" s="170" t="s">
        <v>26</v>
      </c>
      <c r="E75" s="184" t="s">
        <v>1399</v>
      </c>
      <c r="F75" s="2571" t="s">
        <v>3459</v>
      </c>
      <c r="G75" s="184" t="s">
        <v>1400</v>
      </c>
      <c r="H75" s="2572">
        <v>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6" t="s">
        <v>1402</v>
      </c>
      <c r="F76" s="3560"/>
      <c r="G76" s="3560"/>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6</v>
      </c>
      <c r="D77" s="2574">
        <f>'数据-取费表'!B48+'数据-取费表'!B49</f>
        <v>3.0499999999999999E-2</v>
      </c>
      <c r="E77" s="3449" t="s">
        <v>1404</v>
      </c>
      <c r="F77" s="186"/>
      <c r="G77" s="1821" t="s">
        <v>3460</v>
      </c>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70" t="s">
        <v>1406</v>
      </c>
      <c r="F78" s="3571"/>
      <c r="G78" s="3571"/>
      <c r="H78" s="358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7">
        <f ca="1">C72-C73</f>
        <v>-6</v>
      </c>
      <c r="D79" s="170" t="s">
        <v>26</v>
      </c>
      <c r="E79" s="3459"/>
      <c r="F79" s="3458"/>
      <c r="G79" s="345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v>
      </c>
      <c r="D80" s="170" t="s">
        <v>26</v>
      </c>
      <c r="E80" s="3449" t="str">
        <f ca="1">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1410</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3457"/>
      <c r="D84" s="345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189</v>
      </c>
      <c r="D85" s="170" t="s">
        <v>26</v>
      </c>
      <c r="E85" s="3459"/>
      <c r="F85" s="3458"/>
      <c r="G85" s="345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3459"/>
      <c r="F86" s="3458"/>
      <c r="G86" s="345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3454"/>
      <c r="F87" s="3455"/>
      <c r="G87" s="3455"/>
      <c r="H87" s="345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3455"/>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3455"/>
      <c r="G89" s="3455"/>
      <c r="H89" s="345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3455"/>
      <c r="G90" s="3652" t="s">
        <v>2128</v>
      </c>
      <c r="H90" s="365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0" t="s">
        <v>1419</v>
      </c>
      <c r="F91" s="3571"/>
      <c r="G91" s="357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0" t="s">
        <v>1422</v>
      </c>
      <c r="F92" s="3571"/>
      <c r="G92" s="3571"/>
      <c r="H92" s="358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70" t="s">
        <v>1406</v>
      </c>
      <c r="F93" s="3571"/>
      <c r="G93" s="3571"/>
      <c r="H93" s="358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1" t="s">
        <v>1426</v>
      </c>
      <c r="F94" s="3582"/>
      <c r="G94" s="3582"/>
      <c r="H94" s="35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7">
        <f ca="1">ROUND(C85-C86,0)</f>
        <v>188</v>
      </c>
      <c r="D95" s="170" t="s">
        <v>26</v>
      </c>
      <c r="E95" s="3459"/>
      <c r="F95" s="3458"/>
      <c r="G95" s="345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188</v>
      </c>
      <c r="D96" s="170" t="s">
        <v>26</v>
      </c>
      <c r="E96" s="3449"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4" t="str">
        <f>C4</f>
        <v>比较法-办公</v>
      </c>
      <c r="D101" s="2585" t="str">
        <f>D4</f>
        <v>收益法 (元)</v>
      </c>
      <c r="E101" s="3647" t="s">
        <v>1431</v>
      </c>
      <c r="F101" s="3604"/>
      <c r="G101" s="1826" t="s">
        <v>1432</v>
      </c>
      <c r="H101" s="2594">
        <f ca="1">H118</f>
        <v>661</v>
      </c>
      <c r="I101" s="129"/>
    </row>
    <row r="102" spans="1:35" ht="18.75" customHeight="1">
      <c r="A102" s="3606" t="s">
        <v>1433</v>
      </c>
      <c r="B102" s="2583" t="s">
        <v>1432</v>
      </c>
      <c r="C102" s="2584">
        <f ca="1">IF(D32="楼面单价",ROUND(C19,0),C19)</f>
        <v>815</v>
      </c>
      <c r="D102" s="2585">
        <f ca="1">IF(D32="楼面单价",ROUND(D19,0),D19)</f>
        <v>431</v>
      </c>
      <c r="E102" s="3647"/>
      <c r="F102" s="3604"/>
      <c r="G102" s="1826" t="s">
        <v>1434</v>
      </c>
      <c r="H102" s="2554">
        <f ca="1">I118</f>
        <v>28807</v>
      </c>
      <c r="I102" s="129"/>
    </row>
    <row r="103" spans="1:35" ht="42.75" customHeight="1">
      <c r="A103" s="3606"/>
      <c r="B103" s="2583" t="s">
        <v>1434</v>
      </c>
      <c r="C103" s="2586">
        <f ca="1">C20</f>
        <v>35493</v>
      </c>
      <c r="D103" s="2587">
        <f ca="1">D20</f>
        <v>18779</v>
      </c>
      <c r="E103" s="3641" t="s">
        <v>1435</v>
      </c>
      <c r="F103" s="3642"/>
      <c r="G103" s="1827" t="s">
        <v>1436</v>
      </c>
      <c r="H103" s="2594">
        <f>IF(D36="正常操作",H104+H105+H106,H105+H106)</f>
        <v>0</v>
      </c>
      <c r="I103" s="129"/>
    </row>
    <row r="104" spans="1:35" ht="18.75" customHeight="1">
      <c r="A104" s="3606" t="s">
        <v>1437</v>
      </c>
      <c r="B104" s="2588" t="s">
        <v>1432</v>
      </c>
      <c r="C104" s="2589">
        <f ca="1">H118</f>
        <v>661</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28807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604"/>
      <c r="G107" s="1826" t="s">
        <v>1432</v>
      </c>
      <c r="H107" s="2594">
        <f ca="1">IF(E107="——","——",H101-H103)</f>
        <v>661</v>
      </c>
      <c r="I107" s="129"/>
    </row>
    <row r="108" spans="1:35" ht="18.75" customHeight="1">
      <c r="A108" s="129"/>
      <c r="B108" s="129"/>
      <c r="C108" s="129"/>
      <c r="D108" s="129"/>
      <c r="E108" s="3603"/>
      <c r="F108" s="3604"/>
      <c r="G108" s="1826" t="s">
        <v>1434</v>
      </c>
      <c r="H108" s="2554">
        <f ca="1">IF(H107=H101,H102,ROUND(H107*10000/'数据-汇总表'!E3,0))</f>
        <v>28807</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6" t="s">
        <v>1432</v>
      </c>
      <c r="H109" s="2597" t="str">
        <f>IF(E109="——","——",H101-H105-H106)</f>
        <v>——</v>
      </c>
      <c r="I109" s="129"/>
    </row>
    <row r="110" spans="1:35" ht="18.75" customHeight="1">
      <c r="A110" s="129"/>
      <c r="B110" s="129"/>
      <c r="C110" s="129"/>
      <c r="D110" s="129"/>
      <c r="E110" s="3603"/>
      <c r="F110" s="3604"/>
      <c r="G110" s="1826" t="s">
        <v>1434</v>
      </c>
      <c r="H110" s="2554"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4.抵押净值</v>
      </c>
      <c r="F111" s="3605"/>
      <c r="G111" s="1826" t="s">
        <v>1432</v>
      </c>
      <c r="H111" s="2594">
        <f ca="1">IF(E111="——","——",N59)</f>
        <v>661</v>
      </c>
      <c r="I111" s="129"/>
    </row>
    <row r="112" spans="1:35" ht="18.75" customHeight="1" thickBot="1">
      <c r="A112" s="129"/>
      <c r="B112" s="129"/>
      <c r="C112" s="129"/>
      <c r="D112" s="129"/>
      <c r="E112" s="3636"/>
      <c r="F112" s="3637"/>
      <c r="G112" s="1829" t="s">
        <v>1434</v>
      </c>
      <c r="H112" s="2598">
        <f ca="1">IF(E111="——","——",N61)</f>
        <v>28798</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3451" t="s">
        <v>1449</v>
      </c>
      <c r="E117" s="3451" t="s">
        <v>1450</v>
      </c>
      <c r="F117" s="3451" t="s">
        <v>1449</v>
      </c>
      <c r="G117" s="3451" t="s">
        <v>1451</v>
      </c>
      <c r="H117" s="3451" t="s">
        <v>1449</v>
      </c>
      <c r="I117" s="3451" t="s">
        <v>1451</v>
      </c>
    </row>
    <row r="118" spans="1:27" ht="24.75" customHeight="1">
      <c r="A118" s="2599" t="str">
        <f>项目基本情况!S2</f>
        <v>北京市房地产</v>
      </c>
      <c r="B118" s="3451">
        <f>M18</f>
        <v>229.53</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f ca="1">ROUND(IF(D32="总价",C32,I118*B118/10000),0)</f>
        <v>661</v>
      </c>
      <c r="I118" s="3451">
        <f ca="1">ROUND(IF(D32="楼面单价",C32,H118*10000/B118),0)</f>
        <v>28807</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陆佰陆拾壹万元整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1452</v>
      </c>
      <c r="B121" s="3615"/>
      <c r="C121" s="3616"/>
      <c r="D121" s="3614" t="str">
        <f>IF(D120=0,"零元整",NUMBERSTRING(INT(D120*10000),2)&amp;"元整")</f>
        <v>零元整</v>
      </c>
      <c r="E121" s="3615"/>
      <c r="F121" s="3615"/>
      <c r="G121" s="3615"/>
      <c r="H121" s="3615"/>
      <c r="I121" s="3616"/>
      <c r="AA121" s="724"/>
    </row>
    <row r="122" spans="1:27" ht="18.75" customHeight="1">
      <c r="A122" s="3605" t="str">
        <f>IF(项目基本情况!B9="房地产市场价值","",MID(E107,3,LEN(E107)-2))</f>
        <v>房地产抵押价值</v>
      </c>
      <c r="B122" s="3605"/>
      <c r="C122" s="3605"/>
      <c r="D122" s="3638">
        <f ca="1">H107</f>
        <v>661</v>
      </c>
      <c r="E122" s="3639"/>
      <c r="F122" s="3639"/>
      <c r="G122" s="3639"/>
      <c r="H122" s="3639"/>
      <c r="I122" s="3640"/>
      <c r="AA122" s="724"/>
    </row>
    <row r="123" spans="1:27" ht="18.75" customHeight="1">
      <c r="A123" s="3574" t="s">
        <v>1452</v>
      </c>
      <c r="B123" s="3574"/>
      <c r="C123" s="3574"/>
      <c r="D123" s="3614" t="str">
        <f ca="1">NUMBERSTRING(INT(D122*10000),2)&amp;"元整"</f>
        <v>陆佰陆拾壹万元整</v>
      </c>
      <c r="E123" s="3615"/>
      <c r="F123" s="3615"/>
      <c r="G123" s="3615"/>
      <c r="H123" s="3615"/>
      <c r="I123" s="3616"/>
      <c r="AA123" s="724"/>
    </row>
    <row r="124" spans="1:27" ht="18.75" customHeight="1">
      <c r="A124" s="3605" t="str">
        <f>IF(项目基本情况!B9="房地产市场价值","",MID(E109,3,LEN(E109)-2))</f>
        <v/>
      </c>
      <c r="B124" s="3605"/>
      <c r="C124" s="3605"/>
      <c r="D124" s="3638" t="str">
        <f>H109</f>
        <v>——</v>
      </c>
      <c r="E124" s="3639"/>
      <c r="F124" s="3639"/>
      <c r="G124" s="3639"/>
      <c r="H124" s="3639"/>
      <c r="I124" s="3640"/>
      <c r="AA124" s="724"/>
    </row>
    <row r="125" spans="1:27" ht="18.75" customHeight="1">
      <c r="A125" s="3574" t="s">
        <v>1452</v>
      </c>
      <c r="B125" s="3574"/>
      <c r="C125" s="3574"/>
      <c r="D125" s="3614" t="e">
        <f>NUMBERSTRING(INT(D124*10000),2)&amp;"元整"</f>
        <v>#VALUE!</v>
      </c>
      <c r="E125" s="3615"/>
      <c r="F125" s="3615"/>
      <c r="G125" s="3615"/>
      <c r="H125" s="3615"/>
      <c r="I125" s="3616"/>
      <c r="AA125" s="724"/>
    </row>
    <row r="126" spans="1:27" ht="18.75" customHeight="1">
      <c r="A126" s="3605" t="str">
        <f>IF(项目基本情况!B9="房地产市场价值","",MID(E111,3,LEN(E111)-2))</f>
        <v>抵押净值</v>
      </c>
      <c r="B126" s="3605"/>
      <c r="C126" s="3605"/>
      <c r="D126" s="3638">
        <f ca="1">H111</f>
        <v>661</v>
      </c>
      <c r="E126" s="3639"/>
      <c r="F126" s="3639"/>
      <c r="G126" s="3639"/>
      <c r="H126" s="3639"/>
      <c r="I126" s="3640"/>
      <c r="AA126" s="724"/>
    </row>
    <row r="127" spans="1:27" ht="18.75" customHeight="1">
      <c r="A127" s="3574" t="s">
        <v>1452</v>
      </c>
      <c r="B127" s="3574"/>
      <c r="C127" s="3574"/>
      <c r="D127" s="3614" t="str">
        <f ca="1">NUMBERSTRING(INT(D126*10000),2)&amp;"元整"</f>
        <v>陆佰陆拾壹万元整</v>
      </c>
      <c r="E127" s="3615"/>
      <c r="F127" s="3615"/>
      <c r="G127" s="3615"/>
      <c r="H127" s="3615"/>
      <c r="I127" s="3616"/>
      <c r="AA127" s="724"/>
    </row>
    <row r="128" spans="1:27" ht="21.75" customHeight="1">
      <c r="A128" s="3621" t="s">
        <v>1453</v>
      </c>
      <c r="B128" s="3621"/>
      <c r="C128" s="3621"/>
      <c r="D128" s="3621"/>
      <c r="E128" s="3621"/>
      <c r="F128" s="3621"/>
      <c r="G128" s="3621"/>
      <c r="H128" s="3621"/>
      <c r="I128" s="362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229.53</v>
      </c>
      <c r="C4" s="853">
        <f>项目基本情况!C18</f>
        <v>0</v>
      </c>
      <c r="D4" s="853" t="e">
        <f ca="1">结果表!D118</f>
        <v>#REF!</v>
      </c>
      <c r="E4" s="853" t="e">
        <f ca="1">结果表!E118</f>
        <v>#REF!</v>
      </c>
      <c r="F4" s="853" t="e">
        <f ca="1">结果表!F118</f>
        <v>#REF!</v>
      </c>
      <c r="G4" s="853" t="e">
        <f ca="1">结果表!G118</f>
        <v>#REF!</v>
      </c>
      <c r="H4" s="853">
        <f ca="1">结果表!H118</f>
        <v>661</v>
      </c>
      <c r="I4" s="853">
        <f ca="1">结果表!I118</f>
        <v>28807</v>
      </c>
    </row>
    <row r="5" spans="1:9" ht="30" customHeight="1">
      <c r="A5" s="3485" t="s">
        <v>927</v>
      </c>
      <c r="B5" s="3485"/>
      <c r="C5" s="3485"/>
      <c r="D5" s="3485" t="e">
        <f ca="1">结果表!D119</f>
        <v>#REF!</v>
      </c>
      <c r="E5" s="3485"/>
      <c r="F5" s="3485" t="e">
        <f ca="1">结果表!F119</f>
        <v>#REF!</v>
      </c>
      <c r="G5" s="3485"/>
      <c r="H5" s="3485" t="str">
        <f ca="1">结果表!H119</f>
        <v>陆佰陆拾壹万元整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661</v>
      </c>
      <c r="E8" s="3484"/>
      <c r="F8" s="3484"/>
      <c r="G8" s="3484"/>
      <c r="H8" s="3484"/>
      <c r="I8" s="3484"/>
    </row>
    <row r="9" spans="1:9" ht="15">
      <c r="A9" s="3485" t="s">
        <v>927</v>
      </c>
      <c r="B9" s="3485"/>
      <c r="C9" s="3485"/>
      <c r="D9" s="3485" t="str">
        <f ca="1">结果表!D123</f>
        <v>陆佰陆拾壹万元整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抵押净值</v>
      </c>
      <c r="B12" s="3484"/>
      <c r="C12" s="3484"/>
      <c r="D12" s="3484">
        <f ca="1">结果表!D126</f>
        <v>280</v>
      </c>
      <c r="E12" s="3484"/>
      <c r="F12" s="3484"/>
      <c r="G12" s="3484"/>
      <c r="H12" s="3484"/>
      <c r="I12" s="3484"/>
    </row>
    <row r="13" spans="1:9" ht="15.75" thickBot="1">
      <c r="A13" s="3482" t="s">
        <v>927</v>
      </c>
      <c r="B13" s="3482"/>
      <c r="C13" s="3482"/>
      <c r="D13" s="3482" t="str">
        <f ca="1">结果表!D127</f>
        <v>贰佰捌拾万元整</v>
      </c>
      <c r="E13" s="3482"/>
      <c r="F13" s="3482"/>
      <c r="G13" s="3482"/>
      <c r="H13" s="3482"/>
      <c r="I13" s="3482"/>
    </row>
    <row r="14" spans="1:9" ht="15" thickTop="1">
      <c r="A14" s="3483" t="s">
        <v>932</v>
      </c>
      <c r="B14" s="3483"/>
      <c r="C14" s="3483"/>
      <c r="D14" s="3483"/>
      <c r="E14" s="3483"/>
      <c r="F14" s="3483"/>
      <c r="G14" s="3483"/>
      <c r="H14" s="3483"/>
      <c r="I14" s="348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2"/>
      <c r="E18" s="3510" t="s">
        <v>2161</v>
      </c>
      <c r="F18" s="3509"/>
      <c r="G18" s="350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Sheet1</vt:lpstr>
      <vt:lpstr>Sheet2</vt:lpstr>
      <vt:lpstr>结果表-916净值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'结果表-916净值'!Print_Area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2023-01-04T08:50:46Z</dcterms:modified>
</cp:coreProperties>
</file>